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5" yWindow="120" windowWidth="19095" windowHeight="10800" tabRatio="865"/>
  </bookViews>
  <sheets>
    <sheet name="приложение 1.1" sheetId="60" r:id="rId1"/>
    <sheet name="прил1.3" sheetId="61" r:id="rId2"/>
    <sheet name="приложение 4.2" sheetId="76" r:id="rId3"/>
    <sheet name="Лист1" sheetId="127" r:id="rId4"/>
  </sheets>
  <definedNames>
    <definedName name="_xlnm.Print_Titles" localSheetId="1">прил1.3!$3:$7</definedName>
    <definedName name="_xlnm.Print_Titles" localSheetId="0">'приложение 1.1'!$7:$9</definedName>
    <definedName name="_xlnm.Print_Area" localSheetId="1">прил1.3!$A$1:$AI$254</definedName>
    <definedName name="_xlnm.Print_Area" localSheetId="0">'приложение 1.1'!$A$1:$U$251</definedName>
    <definedName name="_xlnm.Print_Area" localSheetId="2">'приложение 4.2'!$A$1:$H$31</definedName>
  </definedNames>
  <calcPr calcId="124519"/>
</workbook>
</file>

<file path=xl/calcChain.xml><?xml version="1.0" encoding="utf-8"?>
<calcChain xmlns="http://schemas.openxmlformats.org/spreadsheetml/2006/main">
  <c r="H8" i="61"/>
  <c r="AA8"/>
  <c r="AB8"/>
  <c r="AC8"/>
  <c r="AD8"/>
  <c r="AE8"/>
  <c r="AF8"/>
  <c r="AG8"/>
  <c r="AH8"/>
  <c r="AI8"/>
  <c r="Z8"/>
  <c r="Q8"/>
  <c r="R8"/>
  <c r="S8"/>
  <c r="T8"/>
  <c r="U8"/>
  <c r="V8"/>
  <c r="W8"/>
  <c r="X8"/>
  <c r="Y8"/>
  <c r="P8"/>
  <c r="U144" i="60" l="1"/>
  <c r="H144"/>
  <c r="AI205" i="61" l="1"/>
  <c r="AI204"/>
  <c r="AI206"/>
  <c r="AI207"/>
  <c r="U222" i="60"/>
  <c r="U221"/>
  <c r="P182" l="1"/>
  <c r="S182"/>
  <c r="T182"/>
  <c r="I182"/>
  <c r="AG177" i="61"/>
  <c r="AI177" s="1"/>
  <c r="AG176"/>
  <c r="AI176"/>
  <c r="O177"/>
  <c r="O176"/>
  <c r="S158" i="60"/>
  <c r="R158"/>
  <c r="U158" s="1"/>
  <c r="S157"/>
  <c r="R157"/>
  <c r="H158"/>
  <c r="G158"/>
  <c r="H157"/>
  <c r="G157"/>
  <c r="AI241" i="61"/>
  <c r="AI240"/>
  <c r="AI239"/>
  <c r="AI238"/>
  <c r="AI237"/>
  <c r="AI236"/>
  <c r="AI235"/>
  <c r="AI234"/>
  <c r="Y234"/>
  <c r="AI233"/>
  <c r="AI175"/>
  <c r="AI174"/>
  <c r="AI173"/>
  <c r="AI172"/>
  <c r="AI171"/>
  <c r="AI170"/>
  <c r="AI169"/>
  <c r="AI168"/>
  <c r="AI167"/>
  <c r="AI166"/>
  <c r="AI165"/>
  <c r="AI164"/>
  <c r="AI163"/>
  <c r="AI162"/>
  <c r="AI161"/>
  <c r="AI160"/>
  <c r="AI159"/>
  <c r="AI158"/>
  <c r="AI157"/>
  <c r="AI156"/>
  <c r="AI155"/>
  <c r="AI154"/>
  <c r="AI153"/>
  <c r="AI152"/>
  <c r="AI151"/>
  <c r="AI150"/>
  <c r="I242"/>
  <c r="J242"/>
  <c r="K242"/>
  <c r="L242"/>
  <c r="M242"/>
  <c r="N242"/>
  <c r="P242"/>
  <c r="Q242"/>
  <c r="R242"/>
  <c r="Z242"/>
  <c r="AA242"/>
  <c r="AB242"/>
  <c r="I178"/>
  <c r="J178"/>
  <c r="K178"/>
  <c r="L178"/>
  <c r="M178"/>
  <c r="N178"/>
  <c r="P178"/>
  <c r="Q178"/>
  <c r="R178"/>
  <c r="Z178"/>
  <c r="AA178"/>
  <c r="AB178"/>
  <c r="I9"/>
  <c r="J9"/>
  <c r="K9"/>
  <c r="L9"/>
  <c r="M9"/>
  <c r="N9"/>
  <c r="P9"/>
  <c r="Q9"/>
  <c r="R9"/>
  <c r="S9"/>
  <c r="U9"/>
  <c r="V9"/>
  <c r="W9"/>
  <c r="X9"/>
  <c r="Z9"/>
  <c r="AA9"/>
  <c r="AB9"/>
  <c r="D9"/>
  <c r="E9"/>
  <c r="E8" s="1"/>
  <c r="F9"/>
  <c r="G9"/>
  <c r="C9"/>
  <c r="H22" i="76"/>
  <c r="H21"/>
  <c r="H20"/>
  <c r="H17"/>
  <c r="H16"/>
  <c r="H13"/>
  <c r="H12" s="1"/>
  <c r="H10"/>
  <c r="H8"/>
  <c r="H6"/>
  <c r="Y251" i="61"/>
  <c r="H251"/>
  <c r="AI250"/>
  <c r="T250"/>
  <c r="Y250" s="1"/>
  <c r="H250"/>
  <c r="AI249"/>
  <c r="AI248"/>
  <c r="H248"/>
  <c r="AI247"/>
  <c r="H247"/>
  <c r="Y232"/>
  <c r="H232"/>
  <c r="Y231"/>
  <c r="H231"/>
  <c r="Y230"/>
  <c r="H230"/>
  <c r="Y229"/>
  <c r="H229"/>
  <c r="AI228"/>
  <c r="Y228"/>
  <c r="H228"/>
  <c r="AI227"/>
  <c r="AI226"/>
  <c r="H226"/>
  <c r="AI225"/>
  <c r="AI224"/>
  <c r="AI149"/>
  <c r="Y149"/>
  <c r="H149"/>
  <c r="Y148"/>
  <c r="H148"/>
  <c r="Y147"/>
  <c r="H147"/>
  <c r="Y146"/>
  <c r="H146"/>
  <c r="AI145"/>
  <c r="H145"/>
  <c r="AI144"/>
  <c r="Y144"/>
  <c r="H144"/>
  <c r="AI143"/>
  <c r="Y143"/>
  <c r="H143"/>
  <c r="AI142"/>
  <c r="H142"/>
  <c r="AI141"/>
  <c r="Y141"/>
  <c r="H141"/>
  <c r="AI140"/>
  <c r="Y140"/>
  <c r="H140"/>
  <c r="AI139"/>
  <c r="Y139"/>
  <c r="H139"/>
  <c r="AI138"/>
  <c r="Y138"/>
  <c r="H138"/>
  <c r="AI137"/>
  <c r="H137"/>
  <c r="AI136"/>
  <c r="H136"/>
  <c r="AI135"/>
  <c r="H135"/>
  <c r="AI134"/>
  <c r="H134"/>
  <c r="AI133"/>
  <c r="H133"/>
  <c r="AI132"/>
  <c r="H132"/>
  <c r="AI131"/>
  <c r="H131"/>
  <c r="AI130"/>
  <c r="Y130"/>
  <c r="H130"/>
  <c r="AI129"/>
  <c r="Y129"/>
  <c r="H129"/>
  <c r="AI128"/>
  <c r="H128"/>
  <c r="AI127"/>
  <c r="H127"/>
  <c r="AI126"/>
  <c r="Y126"/>
  <c r="H126"/>
  <c r="AI125"/>
  <c r="H125"/>
  <c r="AI124"/>
  <c r="Y124"/>
  <c r="H124"/>
  <c r="AI123"/>
  <c r="Y123"/>
  <c r="H123"/>
  <c r="AI122"/>
  <c r="Y122"/>
  <c r="H122"/>
  <c r="AI121"/>
  <c r="Y121"/>
  <c r="H121"/>
  <c r="AI120"/>
  <c r="Y120"/>
  <c r="H120"/>
  <c r="AI119"/>
  <c r="Y119"/>
  <c r="H119"/>
  <c r="AI118"/>
  <c r="H118"/>
  <c r="AI117"/>
  <c r="Y117"/>
  <c r="H117"/>
  <c r="AI116"/>
  <c r="H116"/>
  <c r="AI115"/>
  <c r="Y115"/>
  <c r="H115"/>
  <c r="AI114"/>
  <c r="Y114"/>
  <c r="H114"/>
  <c r="AI113"/>
  <c r="Y113"/>
  <c r="H113"/>
  <c r="AH246"/>
  <c r="AG246"/>
  <c r="AF246"/>
  <c r="AE246"/>
  <c r="AD246"/>
  <c r="AC246"/>
  <c r="X246"/>
  <c r="W246"/>
  <c r="V246"/>
  <c r="U246"/>
  <c r="T246"/>
  <c r="S246"/>
  <c r="O246"/>
  <c r="G246"/>
  <c r="F246"/>
  <c r="E246"/>
  <c r="D246"/>
  <c r="C246"/>
  <c r="H246" s="1"/>
  <c r="AH245"/>
  <c r="AH242" s="1"/>
  <c r="AG245"/>
  <c r="AG242" s="1"/>
  <c r="AF245"/>
  <c r="AF242" s="1"/>
  <c r="AE245"/>
  <c r="AE242" s="1"/>
  <c r="AD245"/>
  <c r="AI245"/>
  <c r="AC245"/>
  <c r="AC242"/>
  <c r="X245"/>
  <c r="X242"/>
  <c r="W245"/>
  <c r="W242"/>
  <c r="V245"/>
  <c r="V242"/>
  <c r="U245"/>
  <c r="U242"/>
  <c r="T245"/>
  <c r="S245"/>
  <c r="S242" s="1"/>
  <c r="O245"/>
  <c r="O242"/>
  <c r="G245"/>
  <c r="G242"/>
  <c r="F245"/>
  <c r="F242"/>
  <c r="E245"/>
  <c r="D245"/>
  <c r="H245" s="1"/>
  <c r="C245"/>
  <c r="C242"/>
  <c r="AH223"/>
  <c r="AG223"/>
  <c r="AF223"/>
  <c r="AE223"/>
  <c r="AD223"/>
  <c r="AC223"/>
  <c r="AC178" s="1"/>
  <c r="AH222"/>
  <c r="AI222"/>
  <c r="Y222"/>
  <c r="H222"/>
  <c r="AH221"/>
  <c r="AG221"/>
  <c r="Y221"/>
  <c r="H221"/>
  <c r="AH220"/>
  <c r="AI220"/>
  <c r="Y220"/>
  <c r="H220"/>
  <c r="AH219"/>
  <c r="AG219"/>
  <c r="AI219" s="1"/>
  <c r="Y219"/>
  <c r="H219"/>
  <c r="AG218"/>
  <c r="AF218"/>
  <c r="AI218" s="1"/>
  <c r="Y218"/>
  <c r="H218"/>
  <c r="AF217"/>
  <c r="AI217" s="1"/>
  <c r="Y217"/>
  <c r="H217"/>
  <c r="AG216"/>
  <c r="AF216"/>
  <c r="Y216"/>
  <c r="H216"/>
  <c r="AF215"/>
  <c r="AE215"/>
  <c r="AD215"/>
  <c r="AI215" s="1"/>
  <c r="AC215"/>
  <c r="Y215"/>
  <c r="H215"/>
  <c r="AH214"/>
  <c r="AG214"/>
  <c r="AF214"/>
  <c r="AE214"/>
  <c r="AD214"/>
  <c r="AI214" s="1"/>
  <c r="AC214"/>
  <c r="X214"/>
  <c r="W214"/>
  <c r="V214"/>
  <c r="U214"/>
  <c r="T214"/>
  <c r="Y214" s="1"/>
  <c r="S214"/>
  <c r="O214"/>
  <c r="G214"/>
  <c r="F214"/>
  <c r="E214"/>
  <c r="D214"/>
  <c r="H214" s="1"/>
  <c r="C214"/>
  <c r="AH213"/>
  <c r="AG213"/>
  <c r="AF213"/>
  <c r="AE213"/>
  <c r="AD213"/>
  <c r="AC213"/>
  <c r="X213"/>
  <c r="X178" s="1"/>
  <c r="W213"/>
  <c r="V213"/>
  <c r="U213"/>
  <c r="U178" s="1"/>
  <c r="T213"/>
  <c r="S213"/>
  <c r="S178" s="1"/>
  <c r="O213"/>
  <c r="G213"/>
  <c r="G178" s="1"/>
  <c r="F213"/>
  <c r="E213"/>
  <c r="E178" s="1"/>
  <c r="D213"/>
  <c r="C213"/>
  <c r="AH212"/>
  <c r="AG212"/>
  <c r="AF212"/>
  <c r="AE212"/>
  <c r="AD212"/>
  <c r="AI212" s="1"/>
  <c r="AC212"/>
  <c r="Y212"/>
  <c r="H212"/>
  <c r="AH211"/>
  <c r="AG211"/>
  <c r="AF211"/>
  <c r="AE211"/>
  <c r="AD211"/>
  <c r="AC211"/>
  <c r="Y211"/>
  <c r="H211"/>
  <c r="AH210"/>
  <c r="AG210"/>
  <c r="AF210"/>
  <c r="AE210"/>
  <c r="AD210"/>
  <c r="AC210"/>
  <c r="Y210"/>
  <c r="H210"/>
  <c r="AH209"/>
  <c r="AG209"/>
  <c r="AF209"/>
  <c r="AF178" s="1"/>
  <c r="AE209"/>
  <c r="AD209"/>
  <c r="AC209"/>
  <c r="Y209"/>
  <c r="H209"/>
  <c r="AH112"/>
  <c r="AG112"/>
  <c r="AF112"/>
  <c r="AE112"/>
  <c r="AD112"/>
  <c r="AC112"/>
  <c r="Y112"/>
  <c r="H112"/>
  <c r="AH111"/>
  <c r="AG111"/>
  <c r="AF111"/>
  <c r="AE111"/>
  <c r="AD111"/>
  <c r="AI111" s="1"/>
  <c r="AC111"/>
  <c r="Y111"/>
  <c r="H111"/>
  <c r="AH110"/>
  <c r="AG110"/>
  <c r="AF110"/>
  <c r="AE110"/>
  <c r="AD110"/>
  <c r="AI110" s="1"/>
  <c r="AC110"/>
  <c r="Y110"/>
  <c r="H110"/>
  <c r="AH109"/>
  <c r="AG109"/>
  <c r="AF109"/>
  <c r="AE109"/>
  <c r="AD109"/>
  <c r="AC109"/>
  <c r="Y109"/>
  <c r="H109"/>
  <c r="AH108"/>
  <c r="AG108"/>
  <c r="AF108"/>
  <c r="AE108"/>
  <c r="AD108"/>
  <c r="AC108"/>
  <c r="Y108"/>
  <c r="H108"/>
  <c r="AH107"/>
  <c r="AG107"/>
  <c r="AF107"/>
  <c r="AE107"/>
  <c r="AD107"/>
  <c r="AC107"/>
  <c r="Y107"/>
  <c r="H107"/>
  <c r="AH106"/>
  <c r="AI106" s="1"/>
  <c r="AG105"/>
  <c r="AI105" s="1"/>
  <c r="AF104"/>
  <c r="AI104" s="1"/>
  <c r="AF103"/>
  <c r="AI103" s="1"/>
  <c r="AF102"/>
  <c r="AI102" s="1"/>
  <c r="AG101"/>
  <c r="AF101"/>
  <c r="Y101"/>
  <c r="H101"/>
  <c r="AH100"/>
  <c r="AG100"/>
  <c r="Y100"/>
  <c r="H100"/>
  <c r="AG99"/>
  <c r="AF99"/>
  <c r="Y99"/>
  <c r="H99"/>
  <c r="AH98"/>
  <c r="AG98"/>
  <c r="Y98"/>
  <c r="H98"/>
  <c r="AG97"/>
  <c r="AI97" s="1"/>
  <c r="Y97"/>
  <c r="H97"/>
  <c r="AD96"/>
  <c r="AI96" s="1"/>
  <c r="AC96"/>
  <c r="Y96"/>
  <c r="H96"/>
  <c r="AF95"/>
  <c r="AD95"/>
  <c r="AC95"/>
  <c r="AH94"/>
  <c r="AG94"/>
  <c r="AF94"/>
  <c r="AE94"/>
  <c r="AD94"/>
  <c r="AC94"/>
  <c r="AH93"/>
  <c r="AG93"/>
  <c r="AI93" s="1"/>
  <c r="AF93"/>
  <c r="AH92"/>
  <c r="AG92"/>
  <c r="AF92"/>
  <c r="AE92"/>
  <c r="AD92"/>
  <c r="AC92"/>
  <c r="AH91"/>
  <c r="AG91"/>
  <c r="AF91"/>
  <c r="AE91"/>
  <c r="AD91"/>
  <c r="AI91" s="1"/>
  <c r="AC91"/>
  <c r="AE90"/>
  <c r="AD90"/>
  <c r="AC90"/>
  <c r="AD89"/>
  <c r="AI89" s="1"/>
  <c r="AC89"/>
  <c r="AF88"/>
  <c r="AI88" s="1"/>
  <c r="AF87"/>
  <c r="AF86"/>
  <c r="AI86" s="1"/>
  <c r="AH85"/>
  <c r="AG85"/>
  <c r="AG84"/>
  <c r="AI84" s="1"/>
  <c r="AF83"/>
  <c r="AI83" s="1"/>
  <c r="AG82"/>
  <c r="AI82" s="1"/>
  <c r="AF81"/>
  <c r="AI81" s="1"/>
  <c r="AG80"/>
  <c r="AI80" s="1"/>
  <c r="AH79"/>
  <c r="AI79" s="1"/>
  <c r="AG78"/>
  <c r="AI78" s="1"/>
  <c r="AF77"/>
  <c r="AE77"/>
  <c r="AH76"/>
  <c r="AG76"/>
  <c r="AG9" s="1"/>
  <c r="AF76"/>
  <c r="AE76"/>
  <c r="AD76"/>
  <c r="AC76"/>
  <c r="AC9" s="1"/>
  <c r="AE75"/>
  <c r="AD75"/>
  <c r="AC75"/>
  <c r="AF74"/>
  <c r="AE74"/>
  <c r="Y74"/>
  <c r="H74"/>
  <c r="AH73"/>
  <c r="AI73" s="1"/>
  <c r="Y73"/>
  <c r="H73"/>
  <c r="H9" s="1"/>
  <c r="AH72"/>
  <c r="AI72" s="1"/>
  <c r="Y72"/>
  <c r="H72"/>
  <c r="AD71"/>
  <c r="AI71" s="1"/>
  <c r="AC71"/>
  <c r="Y71"/>
  <c r="H71"/>
  <c r="AI208"/>
  <c r="AI203"/>
  <c r="AI202"/>
  <c r="AI201"/>
  <c r="AI200"/>
  <c r="AI199"/>
  <c r="AI198"/>
  <c r="AI197"/>
  <c r="AI196"/>
  <c r="AI195"/>
  <c r="AI194"/>
  <c r="AI193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D244"/>
  <c r="AI244" s="1"/>
  <c r="T244"/>
  <c r="H244"/>
  <c r="AD243"/>
  <c r="AI243" s="1"/>
  <c r="T243"/>
  <c r="Y243" s="1"/>
  <c r="H243"/>
  <c r="AD192"/>
  <c r="AI192" s="1"/>
  <c r="T192"/>
  <c r="Y192" s="1"/>
  <c r="H192"/>
  <c r="AD191"/>
  <c r="AI191" s="1"/>
  <c r="T191"/>
  <c r="Y191" s="1"/>
  <c r="H191"/>
  <c r="AD190"/>
  <c r="AI190" s="1"/>
  <c r="T190"/>
  <c r="Y190" s="1"/>
  <c r="H190"/>
  <c r="AD189"/>
  <c r="AI189" s="1"/>
  <c r="T189"/>
  <c r="Y189" s="1"/>
  <c r="H189"/>
  <c r="AD188"/>
  <c r="T188"/>
  <c r="Y188" s="1"/>
  <c r="O188"/>
  <c r="H188"/>
  <c r="AD187"/>
  <c r="AI187" s="1"/>
  <c r="T187"/>
  <c r="Y187" s="1"/>
  <c r="H187"/>
  <c r="AD186"/>
  <c r="AI186" s="1"/>
  <c r="T186"/>
  <c r="Y186" s="1"/>
  <c r="H186"/>
  <c r="AD185"/>
  <c r="AI185" s="1"/>
  <c r="T185"/>
  <c r="Y185" s="1"/>
  <c r="H185"/>
  <c r="AD184"/>
  <c r="AI184" s="1"/>
  <c r="T184"/>
  <c r="Y184" s="1"/>
  <c r="H184"/>
  <c r="AD183"/>
  <c r="AI183" s="1"/>
  <c r="T183"/>
  <c r="Y183" s="1"/>
  <c r="H183"/>
  <c r="AD182"/>
  <c r="AI182" s="1"/>
  <c r="Y182"/>
  <c r="O182"/>
  <c r="H182"/>
  <c r="AI181"/>
  <c r="AD179"/>
  <c r="O179"/>
  <c r="AD45"/>
  <c r="AI45" s="1"/>
  <c r="T45"/>
  <c r="Y45" s="1"/>
  <c r="H45"/>
  <c r="AI44"/>
  <c r="AI42"/>
  <c r="AI41"/>
  <c r="Y41"/>
  <c r="AD40"/>
  <c r="AI40" s="1"/>
  <c r="AI39"/>
  <c r="O39"/>
  <c r="AI38"/>
  <c r="AI37"/>
  <c r="AI36"/>
  <c r="AI35"/>
  <c r="AI34"/>
  <c r="O34"/>
  <c r="AI33"/>
  <c r="AI32"/>
  <c r="AI31"/>
  <c r="O31"/>
  <c r="AI30"/>
  <c r="O30"/>
  <c r="AI29"/>
  <c r="O29"/>
  <c r="AI28"/>
  <c r="AI27"/>
  <c r="AI26"/>
  <c r="AI25"/>
  <c r="AI24"/>
  <c r="AI23"/>
  <c r="AI22"/>
  <c r="AI21"/>
  <c r="AI20"/>
  <c r="AI19"/>
  <c r="AI18"/>
  <c r="AD17"/>
  <c r="AI17" s="1"/>
  <c r="AD16"/>
  <c r="AI16" s="1"/>
  <c r="AI15"/>
  <c r="AI14"/>
  <c r="AD13"/>
  <c r="AI13" s="1"/>
  <c r="AD12"/>
  <c r="AI12" s="1"/>
  <c r="O12"/>
  <c r="O9" s="1"/>
  <c r="AD11"/>
  <c r="AI11" s="1"/>
  <c r="AI10"/>
  <c r="U244" i="60"/>
  <c r="T243"/>
  <c r="S243"/>
  <c r="U242"/>
  <c r="T241"/>
  <c r="S241"/>
  <c r="H241"/>
  <c r="G241"/>
  <c r="S240"/>
  <c r="R240"/>
  <c r="H240"/>
  <c r="G240"/>
  <c r="R239"/>
  <c r="Q239"/>
  <c r="H239"/>
  <c r="G239"/>
  <c r="R238"/>
  <c r="U238" s="1"/>
  <c r="H238"/>
  <c r="G238"/>
  <c r="R237"/>
  <c r="U237" s="1"/>
  <c r="H237"/>
  <c r="G237"/>
  <c r="U236"/>
  <c r="U235"/>
  <c r="I235"/>
  <c r="I234" s="1"/>
  <c r="G235"/>
  <c r="T233"/>
  <c r="S233"/>
  <c r="R233"/>
  <c r="Q233"/>
  <c r="P233"/>
  <c r="T232"/>
  <c r="S232"/>
  <c r="R232"/>
  <c r="Q232"/>
  <c r="P232"/>
  <c r="H232"/>
  <c r="T231"/>
  <c r="S231"/>
  <c r="P231"/>
  <c r="H231"/>
  <c r="T230"/>
  <c r="S230"/>
  <c r="R230"/>
  <c r="H230"/>
  <c r="T246"/>
  <c r="S246"/>
  <c r="R246"/>
  <c r="Q246"/>
  <c r="P246"/>
  <c r="P229"/>
  <c r="U229" s="1"/>
  <c r="H229"/>
  <c r="P228"/>
  <c r="U228" s="1"/>
  <c r="H228"/>
  <c r="Q227"/>
  <c r="P227"/>
  <c r="H227"/>
  <c r="Q226"/>
  <c r="P226"/>
  <c r="H226"/>
  <c r="Q156"/>
  <c r="P156"/>
  <c r="G156"/>
  <c r="H156" s="1"/>
  <c r="U225"/>
  <c r="U224"/>
  <c r="U223"/>
  <c r="U220"/>
  <c r="U219"/>
  <c r="U218"/>
  <c r="U217"/>
  <c r="T216"/>
  <c r="S216"/>
  <c r="R216"/>
  <c r="Q216"/>
  <c r="P216"/>
  <c r="H216"/>
  <c r="G216" s="1"/>
  <c r="S215"/>
  <c r="R215"/>
  <c r="H215"/>
  <c r="G215"/>
  <c r="T214"/>
  <c r="S214"/>
  <c r="H214"/>
  <c r="G214"/>
  <c r="S213"/>
  <c r="R213"/>
  <c r="Q213"/>
  <c r="P213"/>
  <c r="H213"/>
  <c r="G213"/>
  <c r="T212"/>
  <c r="S212"/>
  <c r="R212"/>
  <c r="Q212"/>
  <c r="P212"/>
  <c r="H212"/>
  <c r="G212"/>
  <c r="T211"/>
  <c r="S211"/>
  <c r="R211"/>
  <c r="Q211"/>
  <c r="P211"/>
  <c r="H211"/>
  <c r="G211"/>
  <c r="T210"/>
  <c r="S210"/>
  <c r="R210"/>
  <c r="Q210"/>
  <c r="P210"/>
  <c r="G210"/>
  <c r="H210" s="1"/>
  <c r="T209"/>
  <c r="S209"/>
  <c r="R209"/>
  <c r="Q209"/>
  <c r="P209"/>
  <c r="G209"/>
  <c r="H209" s="1"/>
  <c r="T208"/>
  <c r="S208"/>
  <c r="R208"/>
  <c r="H208"/>
  <c r="G208"/>
  <c r="S207"/>
  <c r="R207"/>
  <c r="H207"/>
  <c r="G207"/>
  <c r="P206"/>
  <c r="U206" s="1"/>
  <c r="G206"/>
  <c r="U205"/>
  <c r="H205"/>
  <c r="G205"/>
  <c r="U204"/>
  <c r="U203"/>
  <c r="U202"/>
  <c r="H202"/>
  <c r="G202"/>
  <c r="U201"/>
  <c r="G201"/>
  <c r="U200"/>
  <c r="I200"/>
  <c r="H200"/>
  <c r="U199"/>
  <c r="I199"/>
  <c r="H199"/>
  <c r="G199"/>
  <c r="U198"/>
  <c r="H198"/>
  <c r="G198"/>
  <c r="T181"/>
  <c r="T180" s="1"/>
  <c r="S181"/>
  <c r="S180" s="1"/>
  <c r="R181"/>
  <c r="R180" s="1"/>
  <c r="Q181"/>
  <c r="Q180" s="1"/>
  <c r="P181"/>
  <c r="P180" s="1"/>
  <c r="H181"/>
  <c r="H180" s="1"/>
  <c r="G180"/>
  <c r="T178"/>
  <c r="S178"/>
  <c r="R178"/>
  <c r="Q178"/>
  <c r="P178"/>
  <c r="H178"/>
  <c r="T177"/>
  <c r="S177"/>
  <c r="R177"/>
  <c r="Q177"/>
  <c r="P177"/>
  <c r="H177"/>
  <c r="T176"/>
  <c r="S176"/>
  <c r="R176"/>
  <c r="Q176"/>
  <c r="P176"/>
  <c r="G176"/>
  <c r="H176" s="1"/>
  <c r="U175"/>
  <c r="U174"/>
  <c r="U173"/>
  <c r="U172"/>
  <c r="U171"/>
  <c r="U170"/>
  <c r="U169"/>
  <c r="T167"/>
  <c r="S167"/>
  <c r="R167"/>
  <c r="Q167"/>
  <c r="P167"/>
  <c r="H167"/>
  <c r="G167"/>
  <c r="T166"/>
  <c r="S166"/>
  <c r="R166"/>
  <c r="H166"/>
  <c r="G166"/>
  <c r="T165"/>
  <c r="S165"/>
  <c r="R165"/>
  <c r="Q165"/>
  <c r="P165"/>
  <c r="H165"/>
  <c r="G165"/>
  <c r="T164"/>
  <c r="S164"/>
  <c r="R164"/>
  <c r="Q164"/>
  <c r="P164"/>
  <c r="H164"/>
  <c r="G164"/>
  <c r="Q163"/>
  <c r="P163"/>
  <c r="H163"/>
  <c r="G163"/>
  <c r="U162"/>
  <c r="I162"/>
  <c r="G162" s="1"/>
  <c r="T154"/>
  <c r="T145" s="1"/>
  <c r="S154"/>
  <c r="S145" s="1"/>
  <c r="R154"/>
  <c r="Q154"/>
  <c r="P154"/>
  <c r="H154"/>
  <c r="Q153"/>
  <c r="P153"/>
  <c r="H153"/>
  <c r="U152"/>
  <c r="U151"/>
  <c r="P150"/>
  <c r="U150" s="1"/>
  <c r="H150"/>
  <c r="G150"/>
  <c r="R149"/>
  <c r="Q149"/>
  <c r="H149"/>
  <c r="G149"/>
  <c r="U148"/>
  <c r="I148"/>
  <c r="G148" s="1"/>
  <c r="U147"/>
  <c r="G147"/>
  <c r="P146"/>
  <c r="U146" s="1"/>
  <c r="G146"/>
  <c r="G145" s="1"/>
  <c r="U245"/>
  <c r="H245"/>
  <c r="T142"/>
  <c r="S142"/>
  <c r="R142"/>
  <c r="Q142"/>
  <c r="P142"/>
  <c r="H142"/>
  <c r="S141"/>
  <c r="U141" s="1"/>
  <c r="H141"/>
  <c r="T143"/>
  <c r="S143"/>
  <c r="R143"/>
  <c r="Q143"/>
  <c r="P143"/>
  <c r="H143"/>
  <c r="T140"/>
  <c r="S140"/>
  <c r="R140"/>
  <c r="H140"/>
  <c r="Q139"/>
  <c r="U139" s="1"/>
  <c r="H139"/>
  <c r="T138"/>
  <c r="S138"/>
  <c r="R138"/>
  <c r="Q138"/>
  <c r="P138"/>
  <c r="G138"/>
  <c r="H138" s="1"/>
  <c r="R137"/>
  <c r="U137" s="1"/>
  <c r="H137"/>
  <c r="T136"/>
  <c r="S136"/>
  <c r="R136"/>
  <c r="Q136"/>
  <c r="P136"/>
  <c r="H136"/>
  <c r="Q135"/>
  <c r="P135"/>
  <c r="H135"/>
  <c r="R134"/>
  <c r="Q134"/>
  <c r="P134"/>
  <c r="G134"/>
  <c r="H134" s="1"/>
  <c r="P179"/>
  <c r="U179" s="1"/>
  <c r="H179"/>
  <c r="Q133"/>
  <c r="P133"/>
  <c r="G133"/>
  <c r="H133" s="1"/>
  <c r="R132"/>
  <c r="Q132"/>
  <c r="G132"/>
  <c r="H132" s="1"/>
  <c r="R131"/>
  <c r="U131" s="1"/>
  <c r="H131"/>
  <c r="Q130"/>
  <c r="U130" s="1"/>
  <c r="H130"/>
  <c r="S129"/>
  <c r="R129"/>
  <c r="H129"/>
  <c r="Q128"/>
  <c r="P128"/>
  <c r="H128"/>
  <c r="T127"/>
  <c r="S127"/>
  <c r="R127"/>
  <c r="Q127"/>
  <c r="P127"/>
  <c r="H127"/>
  <c r="P126"/>
  <c r="U126" s="1"/>
  <c r="H126"/>
  <c r="T125"/>
  <c r="S125"/>
  <c r="R125"/>
  <c r="Q125"/>
  <c r="P125"/>
  <c r="H125"/>
  <c r="R124"/>
  <c r="Q124"/>
  <c r="G124"/>
  <c r="H124" s="1"/>
  <c r="T123"/>
  <c r="S123"/>
  <c r="R123"/>
  <c r="Q123"/>
  <c r="P123"/>
  <c r="G123"/>
  <c r="T122"/>
  <c r="S122"/>
  <c r="R122"/>
  <c r="Q122"/>
  <c r="P122"/>
  <c r="G122"/>
  <c r="H122" s="1"/>
  <c r="Q121"/>
  <c r="P121"/>
  <c r="G121"/>
  <c r="H121" s="1"/>
  <c r="S120"/>
  <c r="R120"/>
  <c r="Q120"/>
  <c r="G120"/>
  <c r="H120" s="1"/>
  <c r="Q119"/>
  <c r="P119"/>
  <c r="G119"/>
  <c r="H119" s="1"/>
  <c r="U118"/>
  <c r="U117"/>
  <c r="U116"/>
  <c r="U115"/>
  <c r="U114"/>
  <c r="U113"/>
  <c r="U112"/>
  <c r="U111"/>
  <c r="U160"/>
  <c r="U155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T65"/>
  <c r="S65"/>
  <c r="R65"/>
  <c r="Q65"/>
  <c r="P65"/>
  <c r="H65"/>
  <c r="G65" s="1"/>
  <c r="T64"/>
  <c r="U64" s="1"/>
  <c r="T63"/>
  <c r="S63"/>
  <c r="R63"/>
  <c r="Q63"/>
  <c r="P63"/>
  <c r="H63"/>
  <c r="G63"/>
  <c r="R62"/>
  <c r="U62" s="1"/>
  <c r="H62"/>
  <c r="G62"/>
  <c r="T61"/>
  <c r="S61"/>
  <c r="H61"/>
  <c r="G61"/>
  <c r="T60"/>
  <c r="S60"/>
  <c r="R60"/>
  <c r="H60"/>
  <c r="G60"/>
  <c r="T59"/>
  <c r="S59"/>
  <c r="H59"/>
  <c r="G59"/>
  <c r="T58"/>
  <c r="S58"/>
  <c r="R58"/>
  <c r="H58"/>
  <c r="G58"/>
  <c r="S57"/>
  <c r="R57"/>
  <c r="H57"/>
  <c r="G57"/>
  <c r="R56"/>
  <c r="Q56"/>
  <c r="H56"/>
  <c r="G56"/>
  <c r="S55"/>
  <c r="R55"/>
  <c r="Q55"/>
  <c r="H55"/>
  <c r="G55"/>
  <c r="R54"/>
  <c r="Q54"/>
  <c r="P54"/>
  <c r="H54"/>
  <c r="G54"/>
  <c r="R53"/>
  <c r="U53" s="1"/>
  <c r="H53"/>
  <c r="G53"/>
  <c r="T52"/>
  <c r="S52"/>
  <c r="R52"/>
  <c r="H52"/>
  <c r="G52"/>
  <c r="S51"/>
  <c r="U51" s="1"/>
  <c r="H51"/>
  <c r="G51"/>
  <c r="R50"/>
  <c r="U50" s="1"/>
  <c r="H50"/>
  <c r="G50"/>
  <c r="S49"/>
  <c r="R49"/>
  <c r="H49"/>
  <c r="G49"/>
  <c r="R48"/>
  <c r="Q48"/>
  <c r="H48"/>
  <c r="G48"/>
  <c r="S47"/>
  <c r="R47"/>
  <c r="H47"/>
  <c r="G47"/>
  <c r="T46"/>
  <c r="U46" s="1"/>
  <c r="H46"/>
  <c r="G46"/>
  <c r="T45"/>
  <c r="S45"/>
  <c r="H45"/>
  <c r="G45"/>
  <c r="S44"/>
  <c r="R44"/>
  <c r="H44"/>
  <c r="G44"/>
  <c r="T43"/>
  <c r="U43" s="1"/>
  <c r="H43"/>
  <c r="G43"/>
  <c r="R195"/>
  <c r="R182" s="1"/>
  <c r="Q195"/>
  <c r="Q182" s="1"/>
  <c r="H195"/>
  <c r="H182" s="1"/>
  <c r="G195"/>
  <c r="G182" s="1"/>
  <c r="T42"/>
  <c r="S42"/>
  <c r="R42"/>
  <c r="Q42"/>
  <c r="P42"/>
  <c r="H42"/>
  <c r="G42"/>
  <c r="Q41"/>
  <c r="P41"/>
  <c r="H41"/>
  <c r="G41"/>
  <c r="R40"/>
  <c r="Q40"/>
  <c r="P40"/>
  <c r="H40"/>
  <c r="G40"/>
  <c r="T39"/>
  <c r="S39"/>
  <c r="R39"/>
  <c r="H39"/>
  <c r="G39"/>
  <c r="T38"/>
  <c r="S38"/>
  <c r="R38"/>
  <c r="H38"/>
  <c r="G38"/>
  <c r="P37"/>
  <c r="U37" s="1"/>
  <c r="H37"/>
  <c r="G37"/>
  <c r="U36"/>
  <c r="U35"/>
  <c r="U34"/>
  <c r="U33"/>
  <c r="U32"/>
  <c r="U194"/>
  <c r="U193"/>
  <c r="U31"/>
  <c r="U30"/>
  <c r="U29"/>
  <c r="U159"/>
  <c r="U28"/>
  <c r="U192"/>
  <c r="U191"/>
  <c r="U190"/>
  <c r="U27"/>
  <c r="U26"/>
  <c r="U189"/>
  <c r="U25"/>
  <c r="U188"/>
  <c r="U187"/>
  <c r="U186"/>
  <c r="U185"/>
  <c r="U184"/>
  <c r="U183"/>
  <c r="U24"/>
  <c r="U23"/>
  <c r="U22"/>
  <c r="U21"/>
  <c r="G21"/>
  <c r="T20"/>
  <c r="S20"/>
  <c r="S12" s="1"/>
  <c r="R20"/>
  <c r="Q20"/>
  <c r="Q12" s="1"/>
  <c r="P20"/>
  <c r="I20"/>
  <c r="H20"/>
  <c r="U19"/>
  <c r="G19"/>
  <c r="U18"/>
  <c r="I18"/>
  <c r="H18"/>
  <c r="G18"/>
  <c r="U17"/>
  <c r="G17"/>
  <c r="U16"/>
  <c r="U15"/>
  <c r="I15"/>
  <c r="G15"/>
  <c r="U14"/>
  <c r="U13"/>
  <c r="I13"/>
  <c r="G13"/>
  <c r="Y245" i="61"/>
  <c r="AI107"/>
  <c r="AI180"/>
  <c r="AI188"/>
  <c r="AI221"/>
  <c r="AE178"/>
  <c r="W178"/>
  <c r="E242"/>
  <c r="T9"/>
  <c r="AH178"/>
  <c r="AI77"/>
  <c r="T178"/>
  <c r="AE9"/>
  <c r="AI85"/>
  <c r="AI209"/>
  <c r="AI211"/>
  <c r="AI223"/>
  <c r="AI76"/>
  <c r="AI98"/>
  <c r="AI246"/>
  <c r="I161" i="60"/>
  <c r="U213"/>
  <c r="I145"/>
  <c r="H235"/>
  <c r="P145"/>
  <c r="P234"/>
  <c r="U135"/>
  <c r="U48"/>
  <c r="U121"/>
  <c r="I197"/>
  <c r="I196" s="1"/>
  <c r="H203"/>
  <c r="S197"/>
  <c r="U214"/>
  <c r="U246"/>
  <c r="R234"/>
  <c r="U157"/>
  <c r="P161"/>
  <c r="U153"/>
  <c r="U167"/>
  <c r="U45"/>
  <c r="U210"/>
  <c r="U124" l="1"/>
  <c r="U134"/>
  <c r="U143"/>
  <c r="U149"/>
  <c r="U163"/>
  <c r="G161"/>
  <c r="R161"/>
  <c r="U211"/>
  <c r="T197"/>
  <c r="U156"/>
  <c r="U57"/>
  <c r="U226"/>
  <c r="U233"/>
  <c r="G8" i="61"/>
  <c r="D242"/>
  <c r="AD242"/>
  <c r="G20" i="60"/>
  <c r="R12"/>
  <c r="T12"/>
  <c r="U39"/>
  <c r="U47"/>
  <c r="U49"/>
  <c r="U52"/>
  <c r="U54"/>
  <c r="U56"/>
  <c r="U61"/>
  <c r="U65"/>
  <c r="U119"/>
  <c r="U120"/>
  <c r="U122"/>
  <c r="U123"/>
  <c r="U125"/>
  <c r="U127"/>
  <c r="U128"/>
  <c r="U129"/>
  <c r="U132"/>
  <c r="U133"/>
  <c r="U136"/>
  <c r="U138"/>
  <c r="Q145"/>
  <c r="T161"/>
  <c r="U166"/>
  <c r="U176"/>
  <c r="U178"/>
  <c r="G200"/>
  <c r="G197" s="1"/>
  <c r="R197"/>
  <c r="P197"/>
  <c r="Q234"/>
  <c r="U230"/>
  <c r="U243"/>
  <c r="O178" i="61"/>
  <c r="AI90"/>
  <c r="I12" i="60"/>
  <c r="H12"/>
  <c r="U20"/>
  <c r="P12"/>
  <c r="G234"/>
  <c r="H234"/>
  <c r="U41"/>
  <c r="AH9" i="61"/>
  <c r="U240" i="60"/>
  <c r="I11"/>
  <c r="I10" s="1"/>
  <c r="AI75" i="61"/>
  <c r="AI92"/>
  <c r="AI100"/>
  <c r="AI101"/>
  <c r="AI108"/>
  <c r="AI109"/>
  <c r="AI112"/>
  <c r="AG178"/>
  <c r="AI74"/>
  <c r="AI210"/>
  <c r="U55" i="60"/>
  <c r="U58"/>
  <c r="U60"/>
  <c r="U63"/>
  <c r="U165"/>
  <c r="H161"/>
  <c r="H197"/>
  <c r="Q197"/>
  <c r="Q196" s="1"/>
  <c r="U212"/>
  <c r="U215"/>
  <c r="U216"/>
  <c r="U227"/>
  <c r="G12"/>
  <c r="T234"/>
  <c r="T196" s="1"/>
  <c r="O8" i="61"/>
  <c r="U209" i="60"/>
  <c r="P11"/>
  <c r="U181"/>
  <c r="U180" s="1"/>
  <c r="U207"/>
  <c r="U241"/>
  <c r="S234"/>
  <c r="S196" s="1"/>
  <c r="P196"/>
  <c r="U42"/>
  <c r="U44"/>
  <c r="U142"/>
  <c r="R145"/>
  <c r="R11" s="1"/>
  <c r="U154"/>
  <c r="U145" s="1"/>
  <c r="Q161"/>
  <c r="Q11" s="1"/>
  <c r="S161"/>
  <c r="S11" s="1"/>
  <c r="U231"/>
  <c r="U232"/>
  <c r="G11"/>
  <c r="R196"/>
  <c r="T11"/>
  <c r="U195"/>
  <c r="U182" s="1"/>
  <c r="AD9" i="61"/>
  <c r="AI179"/>
  <c r="AD178"/>
  <c r="AI87"/>
  <c r="AF9"/>
  <c r="C178"/>
  <c r="C8" s="1"/>
  <c r="H213"/>
  <c r="H178" s="1"/>
  <c r="Y244"/>
  <c r="T242"/>
  <c r="H242"/>
  <c r="U38" i="60"/>
  <c r="U40"/>
  <c r="U140"/>
  <c r="Y9" i="61"/>
  <c r="AI94"/>
  <c r="AI95"/>
  <c r="D178"/>
  <c r="D8" s="1"/>
  <c r="F178"/>
  <c r="F8" s="1"/>
  <c r="V178"/>
  <c r="H5" i="76"/>
  <c r="H4" s="1"/>
  <c r="H28" s="1"/>
  <c r="AI99" i="61"/>
  <c r="AI9" s="1"/>
  <c r="Y213"/>
  <c r="AI213"/>
  <c r="AI216"/>
  <c r="Y246"/>
  <c r="Y242" s="1"/>
  <c r="U59" i="60"/>
  <c r="U164"/>
  <c r="U177"/>
  <c r="U208"/>
  <c r="U239"/>
  <c r="AI242" i="61"/>
  <c r="H145" i="60"/>
  <c r="Y178" i="61"/>
  <c r="G196" i="60" l="1"/>
  <c r="T10"/>
  <c r="G10"/>
  <c r="H11"/>
  <c r="U197"/>
  <c r="H196"/>
  <c r="AI178" i="61"/>
  <c r="Q10" i="60"/>
  <c r="U234"/>
  <c r="U196" s="1"/>
  <c r="U12"/>
  <c r="P10"/>
  <c r="S10"/>
  <c r="R10"/>
  <c r="U161"/>
  <c r="H10" l="1"/>
  <c r="U11"/>
  <c r="U10" s="1"/>
</calcChain>
</file>

<file path=xl/sharedStrings.xml><?xml version="1.0" encoding="utf-8"?>
<sst xmlns="http://schemas.openxmlformats.org/spreadsheetml/2006/main" count="1940" uniqueCount="762">
  <si>
    <t>№ п/п</t>
  </si>
  <si>
    <t>1.1.</t>
  </si>
  <si>
    <t>1.2.</t>
  </si>
  <si>
    <t>2.</t>
  </si>
  <si>
    <t>2.1.</t>
  </si>
  <si>
    <t>2.2.</t>
  </si>
  <si>
    <t>2.3.</t>
  </si>
  <si>
    <t>2.4.</t>
  </si>
  <si>
    <t>1.3.</t>
  </si>
  <si>
    <t>№№</t>
  </si>
  <si>
    <t>Источник финансирования</t>
  </si>
  <si>
    <t>ВСЕГО источников финансирования</t>
  </si>
  <si>
    <t>Собственные средства</t>
  </si>
  <si>
    <t>Прибыль, направляемая на инвестиции:</t>
  </si>
  <si>
    <t>1.1.1.</t>
  </si>
  <si>
    <t>Амортизация</t>
  </si>
  <si>
    <t>Возврат НДС</t>
  </si>
  <si>
    <t>1.4.</t>
  </si>
  <si>
    <t>Прочие собственные средства</t>
  </si>
  <si>
    <t xml:space="preserve">1.4.1. </t>
  </si>
  <si>
    <t>Бюджетное финансирование</t>
  </si>
  <si>
    <t>Прочие привлеченные средства</t>
  </si>
  <si>
    <t>Наименование объекта</t>
  </si>
  <si>
    <t xml:space="preserve">ВСЕГО, </t>
  </si>
  <si>
    <t>1.1.2.</t>
  </si>
  <si>
    <t>Ввод мощностей</t>
  </si>
  <si>
    <t>Итого</t>
  </si>
  <si>
    <t>Средства внешних инвесторов</t>
  </si>
  <si>
    <t>1.1.3.</t>
  </si>
  <si>
    <t>1.1.3.1.</t>
  </si>
  <si>
    <t>1.1.3.2.</t>
  </si>
  <si>
    <t>в т.ч. инвестиционная составляющая в тарифе</t>
  </si>
  <si>
    <t xml:space="preserve">в т.ч. прибыль со свободного сектора </t>
  </si>
  <si>
    <t>Новое строительство</t>
  </si>
  <si>
    <t>2.5.</t>
  </si>
  <si>
    <t>Наименование проекта</t>
  </si>
  <si>
    <t>Проектная мощность/
протяженность сетей</t>
  </si>
  <si>
    <t>год 
начала 
сроительства</t>
  </si>
  <si>
    <t>год 
окончания 
строительства</t>
  </si>
  <si>
    <t>2.6.</t>
  </si>
  <si>
    <t>С/П*</t>
  </si>
  <si>
    <t>в т.ч. от технологического присоединения (для электросетевых компаний)</t>
  </si>
  <si>
    <t>в т.ч. от технологического присоединения генерации</t>
  </si>
  <si>
    <t>в т.ч. от технологического присоединения потребителей</t>
  </si>
  <si>
    <t>в т.ч. средства допэмиссии</t>
  </si>
  <si>
    <t>Привлеченные средства, в т.ч.:</t>
  </si>
  <si>
    <t>Облигационные займы</t>
  </si>
  <si>
    <t>Займы организаций</t>
  </si>
  <si>
    <t>Кредиты</t>
  </si>
  <si>
    <t>Вывод  мощностей</t>
  </si>
  <si>
    <t>Полная 
стоимость 
строительства **</t>
  </si>
  <si>
    <t>Энергосбережение и повышение энергетической эффективности</t>
  </si>
  <si>
    <t xml:space="preserve">Создание систем телемеханики  и связи </t>
  </si>
  <si>
    <t>Установка устройств регулирования напряжения и компенсации реактивной мощности</t>
  </si>
  <si>
    <t>Техническое перевооружение и реконструкция</t>
  </si>
  <si>
    <t>Остаточная стоимость строительства **</t>
  </si>
  <si>
    <t>1.5.</t>
  </si>
  <si>
    <t>Создание систем противоаварийной и режимной автоматики</t>
  </si>
  <si>
    <t>к приказу Минэнерго России</t>
  </si>
  <si>
    <t>Прочее новое строительство</t>
  </si>
  <si>
    <t>Объем финансирования****</t>
  </si>
  <si>
    <t>Источники финансирования инвестиционных программ 
(в прогнозных ценах соответствующих лет), млн. рублей</t>
  </si>
  <si>
    <t>для ОГК/ТГК, в том числе</t>
  </si>
  <si>
    <t>ДПМ</t>
  </si>
  <si>
    <t>вне ДПМ</t>
  </si>
  <si>
    <t>Прочая прибыль</t>
  </si>
  <si>
    <t>1.2.1.</t>
  </si>
  <si>
    <t>1.2.2.</t>
  </si>
  <si>
    <t>1.2.3.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</si>
  <si>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</si>
  <si>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</si>
  <si>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</si>
  <si>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2.7.</t>
  </si>
  <si>
    <t>Использование лизинга</t>
  </si>
  <si>
    <t>Остаток собственных средств на начало года</t>
  </si>
  <si>
    <t>1.1.4.</t>
  </si>
  <si>
    <t>млн. руб.</t>
  </si>
  <si>
    <t>I кв.</t>
  </si>
  <si>
    <t>II кв.</t>
  </si>
  <si>
    <t>III кв.</t>
  </si>
  <si>
    <t>IV кв.</t>
  </si>
  <si>
    <t>итого</t>
  </si>
  <si>
    <t>Ввод основных средств сетевых организаций</t>
  </si>
  <si>
    <t>Одноцепная ВЛ-110 кВ Иркутская ТЭЦ-9-Ангарская (№ II) с отпайкой на ПС Промышленная</t>
  </si>
  <si>
    <t>Двухцепная отпайка ВЛ-110 кВ "Иркутская-Прибрежная" ц.А, ц.Б на ПС "Пионерская", ПС "Юбилейная"</t>
  </si>
  <si>
    <t>С</t>
  </si>
  <si>
    <t xml:space="preserve">ПС 35/10 кВ "Сельхозкомплекс" замена КРУН-10 на КРУН-10 типа К-59  </t>
  </si>
  <si>
    <t>ПС 35 кВ Тайтурка укрепление береговой линии подстанции и заходов ВЛ-35 кВ</t>
  </si>
  <si>
    <t>Замена грозотроса на ВЛ-500, ВЛ-220 кВ</t>
  </si>
  <si>
    <t>Реконструкция устройств РЗА ВЛ 500 кВ № 565, 568, 563 на УПК-500 Тыреть с заменой выключателей на ОРУ 500 кВ УПК-500 "Тыреть"</t>
  </si>
  <si>
    <t>ПС-500/220/110/35/10/6 "Иркутская" Замена МВ-220 кВ на элегазовый</t>
  </si>
  <si>
    <t>ПС-500/220/110/35/10/6 "Иркутская" Реконструкция электромагнитной блокировки ГПП-1, ГПП-2</t>
  </si>
  <si>
    <t>ВЛ 110 кВ Иркутская ТЭЦ-10 блок 4– ГПП-1 (ШП-13) и ВЛ 110 кВ Иркутская ТЭЦ-10 – Иркутская (ШП-14) от ГПП-1 до ГПП-2, ВЛ 110 кВ Иркутская ТЭЦ-10 блок-</t>
  </si>
  <si>
    <t>Реконструкция ВЛ 110 кВ Иркутская ТЭЦ-10-Мегет с отпайками, ВЛ 110 кВ Ново-Ленино-Мегет с отпайками и ВЛ 110 кВ Иркутская ТЭЦ-10-Ново-Ленино с отп.</t>
  </si>
  <si>
    <t>Реконструкция ВЛ-10-0,4 кВ с КТП</t>
  </si>
  <si>
    <t>Реконструкция ВЛ-35 кВ "В.Булай-Р.Аларь"</t>
  </si>
  <si>
    <t>ПС-500/220/110/35/10/6 "Иркутская" Реконструкция щитов собственных нужд 0,4кВ, щитов постоянного тока ГПП-1, ГПП-2</t>
  </si>
  <si>
    <t>ПС-500/220/110/35/10/6 "Иркутская" Реконструкция кабельного хозяйства ГПП-1, ГПП-2</t>
  </si>
  <si>
    <t>КЛ-35 кВ ПС Прибрежная-ПС № 1</t>
  </si>
  <si>
    <t>ПС 220/110/35/6 кВ Черемхово с присоединением существующих ВЛ 220 кВ, ВЛ 110 кВ, ВЛ 35 кВ, ВЛ 6 кВ и ВЛ 110 кВ Черемхово-Оса</t>
  </si>
  <si>
    <t>ВЛ-10 кВ ПС "Пионерская-Тальяны" с ответвлениями на д.Ивановка и д.Ходарей</t>
  </si>
  <si>
    <t>База Нукутского района Реконструкция сети водопровода и канализации</t>
  </si>
  <si>
    <t>Здание механической мастерской базы ЦЭС. Реконструкция лестничного марша и надстройки</t>
  </si>
  <si>
    <t xml:space="preserve">ПС 110/6кВ «Промышленная» ЗРУ. Реконструкция несущего каркаса и фундаментов здания </t>
  </si>
  <si>
    <t>ПС-500/220/110/35/10/6 "Иркутская" Реконструкция участка пожарохозяйственного водовода ГПП-1 до электроизной установки с установкой узла комм.учета</t>
  </si>
  <si>
    <t>ПС-500/220/110/35/10/6 "Иркутская" Реконструкция сетей рабочего и аварийного освещения кабельных туннелей ГПП-1</t>
  </si>
  <si>
    <t>ПС-500/220/110/35/10/6 "Иркутская" Реконструкция системы отопления и вентиляции здания узла связи (лаз №2, генераторная)</t>
  </si>
  <si>
    <t>ПС 110/35/6 "Ангарская" Замена МВ-110 МКП-110-5-1000-26,5, замена на элегаз.выкл.ВЭБ-110 II-40/2500 с заменой кабельной продукции</t>
  </si>
  <si>
    <t>ПС-500/220/110/35/10/6 "Иркутская" Устройство камер коммерческого учета технической воды охлаждения синхронных компенсаторов</t>
  </si>
  <si>
    <t>Реконструкция ГПП-1 АТ-10 устройства РЗА инв.№ 700Б0024/3</t>
  </si>
  <si>
    <t>ПС-500/220/110/35/10/6 "Иркутская" Замена компрессора ВШ-2,3/230</t>
  </si>
  <si>
    <t>УПК-500 Тыреть Замена компрессора ВШВ-3/100</t>
  </si>
  <si>
    <t>База Кутулик Реконструкция здания ремонтного бокса и склада ОКС</t>
  </si>
  <si>
    <t>ПС-500/220/110/35/10/6 "Иркутская" Здание компрессорной. Реконструкция несущего каркаса и фундаментов здания</t>
  </si>
  <si>
    <t>ПС-500/220/110/35/10/6 "Иркутская" Реконструкция наружной канализации</t>
  </si>
  <si>
    <t>Строительство 2*КЛ-35 кВ Прибрежная-ПС №7</t>
  </si>
  <si>
    <t>1 км</t>
  </si>
  <si>
    <t>Реконструкция ВЛ-35кВ "Апхульта-Бахтай"</t>
  </si>
  <si>
    <t>17 км</t>
  </si>
  <si>
    <t>ПС-500/220/110/35/10/6 "Иркутская" Замена реле БРЭ-2802 в защитах ВЛ-110 Бл №3,4,5,6,7,8 на микропроцессорные терминалы</t>
  </si>
  <si>
    <t>ПС-500/220/110/35/10/6 кВ "Иркутская" Замена РВС-110 (РВС-33) на ОПН-110, РВС-35 на ОПН-35</t>
  </si>
  <si>
    <t>ПС-500/220/110/35/10/6 "Иркутская" Замена МВ-110 на элегазовый</t>
  </si>
  <si>
    <t>Реконструкция ВЛ 110 кВ "Тельма - Новожилкино" с подключением от ВЛ 110 кВ "Цемзавод - Усольская, Цемзавод - Вокзальная"</t>
  </si>
  <si>
    <t>ПС-500/220/110/35/10/6 "Иркутская" реконструкция насосной оборотного водоснабжения</t>
  </si>
  <si>
    <t>Строительство базы в Черемховском районе</t>
  </si>
  <si>
    <t>Монтаж нового наружного освещения на ПС «Цемзавод», «Вокзальная»</t>
  </si>
  <si>
    <t>ПС-500/220/110/35/10/6 "Иркутская" Замена герметичных вводов 220кВ (3шт.) на вводы с твёрдой изоляцией на Т-2</t>
  </si>
  <si>
    <t>ПС-500/220/110/35/10/6 "Иркутская" Замена ГРВ СК7-10, ГРВ СК11-14</t>
  </si>
  <si>
    <t>ПС-110/35кВ "ЗГО" Реконструкция ОРУ- 35кВ, ЗРУ-6 кВ с ячейками, замена АБ СК-8 и подзарядных агрегатов ВАЗП на АБ типа GRoE и зар-подзар. уст-ва ВТЗП</t>
  </si>
  <si>
    <t>ВЛ-35кВ ПС "УЗГО" - ПС"Железнодорожник"</t>
  </si>
  <si>
    <t>ПС 110/35/6 кВ Цемзавод Строительство новой закрытой подстанции 110/35/6 кВ с увеличением мощности трансформаторов с 40000 до 60000 кВА</t>
  </si>
  <si>
    <t>2х60 МВА</t>
  </si>
  <si>
    <t xml:space="preserve">Замена РВС-110-35-10 кВ на ОПН-110-35-10 кВ по ПС ЦЭС (ПРП, Пионерская, Вокзальная, ЗГО, Белореченская, Черемхово, Огнеупоры, Карьерная, Кутулик-110, </t>
  </si>
  <si>
    <t>2,2 км</t>
  </si>
  <si>
    <t>5 км</t>
  </si>
  <si>
    <t>5,2 км</t>
  </si>
  <si>
    <t>63 км</t>
  </si>
  <si>
    <t>2х200 МВА</t>
  </si>
  <si>
    <t>10 км</t>
  </si>
  <si>
    <t>7 км</t>
  </si>
  <si>
    <t>150 км/5 МВА</t>
  </si>
  <si>
    <t>30 км/1 МВА</t>
  </si>
  <si>
    <t>Реконструкция ПС 35/10 кВ Грановшина 
(замена Т 6.3 МВА на Т 10 МВА, КРУН)</t>
  </si>
  <si>
    <t>10МВА</t>
  </si>
  <si>
    <t>Реконструкция ПС 35/10 кВ Оёк 
(перевод на напряжение 110кВ)</t>
  </si>
  <si>
    <t>32МВА</t>
  </si>
  <si>
    <t>Реконструкция ПС 110/35/10 кВ Оса 
(перевод на напряжение 220 кВ: строительство ОРУ 220 кВ, АТ 220 кВ, БСК, УШР, ССПИ) с заходом ВЛ 220 кВ</t>
  </si>
  <si>
    <t>125МВА</t>
  </si>
  <si>
    <t>Реконструкция ПС 110/10 кВ Карлук  
(замена трансформаторов, монтаж ОРУ-35)</t>
  </si>
  <si>
    <t>80МВА</t>
  </si>
  <si>
    <t>40МВА</t>
  </si>
  <si>
    <t>Реконструкция ПС 110/10 кВ Тихоновка, ПС 110/10 кВ  Манзурка (замена разрядников РВС-110  на ОПН-110)</t>
  </si>
  <si>
    <t>Реконструкция ПС 35/10 кВ ВЭС (замена разрядников РВС-35  на ОПН-35)</t>
  </si>
  <si>
    <t>Реконструкция учебно-тренировочного полигона</t>
  </si>
  <si>
    <t>Реконструкция ПС 110/35/10 кВ "Хомутово" (реконструкция  ОРУ-35кВ: замена МВ 35 кВ на ВВ 35 кВ, устройств РЗА 7 прис., установка резервного ШУОТ )</t>
  </si>
  <si>
    <t>П</t>
  </si>
  <si>
    <t>Реконструкция ПС 35/10 кВ "Усть-Балей"
(реконструкция  ОРУ-35кВ: замена МВ 35 кВ на ВВ 35 кВ, устройств РЗА 9 прис.)</t>
  </si>
  <si>
    <t>Реконструкция ПС 35/10 кВ "Черёмушки " (реконструкция  ОРУ-35кВ: замена МВ 35 кВ на ВВ 35 кВ, устройств РЗА 8 прис.)</t>
  </si>
  <si>
    <t>Реконструкция ПС 35/10 кВ "Коты" (реконструкция  ОРУ-35кВ: замена МВ 35 кВ на ВВ 35 кВ, устройств РЗА 9 прис.)</t>
  </si>
  <si>
    <t>Реконструкция ПС 110/10 кВ "Ново-Ленино"
(замена ОД 110 кВ на ЭВ 110 кВ с реконструкцией защит трансформаторов 2 прис.)</t>
  </si>
  <si>
    <t>Реконструкция ПС 110/10 кВ "Ользоны" (замена ОД 110 кВ на ЭВ 110 кВ с реконструкцией защит трансформаторов 2 прис., замена РВС 110 кВ на ОПН 110 кВ)</t>
  </si>
  <si>
    <t>Реконструкция ПС 110/35/10 кВ "Хогот"
(замена ОД 110 кВ на ЭВ 110 кВ с реконструкцией защит трансформаторов 1 прис., замена РВС 110 кВ на ОПН 110 кВ, монтаж дуговой защиты)</t>
  </si>
  <si>
    <t>Реконструкция ПС 110/10/6 кВ Электрокотельная
(установка 1 резервного ШУОТ)</t>
  </si>
  <si>
    <t>Реконструкция ПС 110/35/10 кВ Еланцы 
(установка резервного 1 ШУОТ)</t>
  </si>
  <si>
    <t>Реконструкция ПС 110/35/10 кВ Баяндай
(замена БСК, УШР, ССПИ)</t>
  </si>
  <si>
    <t>Реконструкция ПС 110/10 кВ Харбатово
(замена РВС 110 кВ на ОПН 110 кВ, замена АКБ, ВЗУ)</t>
  </si>
  <si>
    <t>Реконструкция ВЛ 110 кВ Усть-Орда - Тихоновка</t>
  </si>
  <si>
    <t>38.4км</t>
  </si>
  <si>
    <t>17.1км</t>
  </si>
  <si>
    <t>17.5км</t>
  </si>
  <si>
    <t>3.8км</t>
  </si>
  <si>
    <t>Реконструкция ВЛ 35 кВ Тараса-Олонки</t>
  </si>
  <si>
    <t>20.72км</t>
  </si>
  <si>
    <t>10.72км</t>
  </si>
  <si>
    <t>10км</t>
  </si>
  <si>
    <t>Реконструкция ВЛ 35 кВ Новая Уда - Усть-Уда (участок Юголок - Усть-Уда)</t>
  </si>
  <si>
    <t>18.1км</t>
  </si>
  <si>
    <t>Реконструкция ВЛ 35 кВ Каменка-Казачье</t>
  </si>
  <si>
    <t>22.15км</t>
  </si>
  <si>
    <t>15км</t>
  </si>
  <si>
    <t>7.15км</t>
  </si>
  <si>
    <t>Реконструкция ВЛ 35 кВ Жигалово -Чикан</t>
  </si>
  <si>
    <t>46.4км</t>
  </si>
  <si>
    <t>28.8км</t>
  </si>
  <si>
    <t>17.6км</t>
  </si>
  <si>
    <t xml:space="preserve">Реконструкция ВЛ 35 кВ Качуг-Верхоленск </t>
  </si>
  <si>
    <t>28.1км</t>
  </si>
  <si>
    <t>Реконструкция ВЛ 35 кВ Новая Уда - Молька</t>
  </si>
  <si>
    <t>23.1км</t>
  </si>
  <si>
    <t>13.1км</t>
  </si>
  <si>
    <t>Реконструкция ВЛ 35кВ Знаменка-Тимошино</t>
  </si>
  <si>
    <t>39.8км</t>
  </si>
  <si>
    <t>Установка ИБП СДТУ на ПС "Тараса"</t>
  </si>
  <si>
    <t>Реконструкция распред сетей 10-0,4 кВ с целью приведения качества напряжения в соответствие с ГОСТ-13109-97</t>
  </si>
  <si>
    <t>100км / 2.5МВА</t>
  </si>
  <si>
    <t>20км / 0.5МВА</t>
  </si>
  <si>
    <t>Реконструкция ВЛ 10 кВ Жигалово-Петрово</t>
  </si>
  <si>
    <t>70.1км</t>
  </si>
  <si>
    <t xml:space="preserve">150км / 2.5МВА </t>
  </si>
  <si>
    <t>30км / 0.5МВА</t>
  </si>
  <si>
    <t xml:space="preserve">Реконструкция ПС 110/20/10 кВ "Жигалово" 
(замена устройств РЗА ВЛ 110кВ 2 прис.) </t>
  </si>
  <si>
    <t xml:space="preserve">Реконструкция ПС 110/35/10 кВ "Качуг" 
(замена устройств РЗА ВЛ 110кВ 4 прис, монтаж БСК, замена АКБ, ВЗУ) </t>
  </si>
  <si>
    <t>Реконструкция "последней мили" от аппаратуры ООО "ИЭСВ" до оборудования ВЭС на ПС Оса, ПС Новая Уда, ПС Усть-Орда, ПС Бохан, ПС Оекского РЭС 
Реконструкция каналов передачи данных (устройство последней мили)</t>
  </si>
  <si>
    <t>Реконструкция каналов связи Жигалово - Знаменка, Жигалово - Тимошино, Баяндай - Хогот,  Качуг - Верхоленск, Качуг - Манзурка, Качуг - Харбатово, Усть-Орда - Харат, Усть-Орда - Бозой, Оек - Черемушки, Оек - Хомутово, Оса - Тихоновка</t>
  </si>
  <si>
    <t>Реконструкция сети радиосвязи Эхирит-Булагатского РЭС, Жигаловского РЭС, Осинского РЭС, Боханского РЭС, Качугского РЭС</t>
  </si>
  <si>
    <t>Установка ЦАТС в Осинском РЭС, Усть-Удинском РЭС, Жигаловском РЭС</t>
  </si>
  <si>
    <t>Реконструкция телемеханики Осинского РЭС, Качугского РЭС, Боханского РЭС, Усть-Удинского РЭС,  Баяндаевского РЭС, Оекского РЭС</t>
  </si>
  <si>
    <t xml:space="preserve">Строительство ПС 110/10/10 кВ Покровская с ВЛ 110 кВ в габаритах 220 кВ </t>
  </si>
  <si>
    <t>Строительство ПС 35/10 кВ Поздняково с ВЛ 35 кВ</t>
  </si>
  <si>
    <t>12.6МВА</t>
  </si>
  <si>
    <t>Строительство ПС 35/10 кВ Садоводство с заходами ВЛ 35, 10 кВ</t>
  </si>
  <si>
    <t>20МВА</t>
  </si>
  <si>
    <t>Строительство распред.сетей 10/0,4 кВ для эл. группы малоэтажных домов, располож. по адрес: Иркутский р-н, кадаст № 38:06:141904:985, п. Пивовариха</t>
  </si>
  <si>
    <t>58км / 62 МВА</t>
  </si>
  <si>
    <t>5 км / 2.5МВА</t>
  </si>
  <si>
    <t>25км / 12.5МВА</t>
  </si>
  <si>
    <t>Строительство распред.сетей 10/0,4 кВ для эл. группы малоэтажных домов, располож. по адрес: Иркутский р-н, кадаст № 38:06:143519:4778, п. Новолисиха</t>
  </si>
  <si>
    <t>40км / 25МВА</t>
  </si>
  <si>
    <t>Строительство распред сетей 10-0,4 кВ с целью приведения качества напряжения в соответствие с ГОСТ-13109-97</t>
  </si>
  <si>
    <t>150км / 10МВА</t>
  </si>
  <si>
    <t>30км / 2МВА</t>
  </si>
  <si>
    <t>Строительство ПС 220/35/10 кВ Новая с заходами ВЛ 220, 35. 10 кВ</t>
  </si>
  <si>
    <t>50МВА</t>
  </si>
  <si>
    <t>25МВА</t>
  </si>
  <si>
    <t>Строительство ПС 35/10 кВ МРС с заходами ВЛ 35, 10 кВ</t>
  </si>
  <si>
    <t>6.3МВА</t>
  </si>
  <si>
    <t>Строительство ПС 35/10 кВ Худяково с заходом ВЛ 35 кВ</t>
  </si>
  <si>
    <t>250км / 50МВА</t>
  </si>
  <si>
    <t>50км / 10МВА</t>
  </si>
  <si>
    <t>Строительство гаража Тихоновского СУ Осинского РЭС</t>
  </si>
  <si>
    <t>Строительство бытового здания Оекский РЭС</t>
  </si>
  <si>
    <t>Строительство гаража Харбатово СУ (РПБ)</t>
  </si>
  <si>
    <t>Строительство гаража Ново-Ленино СУ</t>
  </si>
  <si>
    <t>C/П</t>
  </si>
  <si>
    <t>Реконструкция ПС 35кВ с заменой РВС-35 на ОПН-35  (36 подстанций-177 шт)</t>
  </si>
  <si>
    <t xml:space="preserve">Реконструкция ВЛ 10кВ с установкой  РДИМ  на ВЛ 10кВ (Афанасьево,Будагово,Н.Бурбук,Умыган,Юрты,Катарбей,Новочунка, Котик, Порог) </t>
  </si>
  <si>
    <t xml:space="preserve">Реконструкция электрических сетей 10/0,4кВ п. 4-е  отделение Государственной селекционной станции </t>
  </si>
  <si>
    <t xml:space="preserve">Реконструкция ПС 500кВ Тулун с заменой выключателей 220кВ </t>
  </si>
  <si>
    <t>С/П</t>
  </si>
  <si>
    <t xml:space="preserve">Установка ОПН 500кВ  ВЛ 560,561, 562, 563, 564, 568 </t>
  </si>
  <si>
    <t xml:space="preserve">Реконструкция защит присоединений 6кВ на ПС 110/6кВ Стеклозавод </t>
  </si>
  <si>
    <t xml:space="preserve">ВЛ-10 кВ Бирюсинск-Зыряновка </t>
  </si>
  <si>
    <t>2,71км</t>
  </si>
  <si>
    <t xml:space="preserve">Реконструкция ВЛ-500кВ, ВЛ-220кВ  замена грозозащитного троса С-70 на новый МЗ-В-ОЖ-Н-Р </t>
  </si>
  <si>
    <t xml:space="preserve">Реконструкция ПС 500кВ Тайшет установка нейтралеобразующего устройства </t>
  </si>
  <si>
    <t xml:space="preserve">Реконструкция КРУН-10 ПС 110/35/10 кВ Рубахино (14яч) </t>
  </si>
  <si>
    <t xml:space="preserve">Реконструкция ПС Бирюса установка нейтралеобразующего устройства </t>
  </si>
  <si>
    <t xml:space="preserve">Реконструкция ПС 35кВ Уховская </t>
  </si>
  <si>
    <t xml:space="preserve">Реконструкция ПС Бирюса с заменой МВ-35 на ваакумные выключатели 35кВ и защиты </t>
  </si>
  <si>
    <t xml:space="preserve">Замена разрядников на ОПН  10кВ (96шт) </t>
  </si>
  <si>
    <t xml:space="preserve">Реконструкция радиосетей Тайшетского РЭС </t>
  </si>
  <si>
    <t xml:space="preserve">Замена ЗНОМ-35 на ЗНОЛ-35 (24шт) </t>
  </si>
  <si>
    <t xml:space="preserve">Реконструкция ПС 500 Новозиминская  (установка Т4) </t>
  </si>
  <si>
    <t xml:space="preserve">Реконструкция ПС 220/110/10кВ Тулун установка АТ </t>
  </si>
  <si>
    <t xml:space="preserve">Реконструкция ПС 110кВ Юрты с заменой МВ10кВ на ваакумные и реконструкция защит </t>
  </si>
  <si>
    <t xml:space="preserve">Реконструкция устройств РЗА для реализации ОАПВ ЗЭС </t>
  </si>
  <si>
    <t xml:space="preserve">Замена нетиповых устройств  АЛАР 110кВ </t>
  </si>
  <si>
    <t xml:space="preserve">Телемеханизация ПС ЗЭС в рамках проекта ССПИ (АСУ ТП ПС 500кВ Тайшет прсоедин. 110кВ, 35кВ, 10кВ) </t>
  </si>
  <si>
    <t xml:space="preserve">Реконструкция и модернизация ВЧ каналов на на объектах ЗЭС </t>
  </si>
  <si>
    <t xml:space="preserve">Модернизация систем видеонаблюдения на ПС 500кВ Тулун </t>
  </si>
  <si>
    <t xml:space="preserve">Реконструкция систем видеонаблюдения на базе ЗЭС с установкой технол. видеонаблюдения на ПС 35кВ Тулун </t>
  </si>
  <si>
    <t xml:space="preserve">Строительство электрические сети 10/0,4 кВ Бирюсинск </t>
  </si>
  <si>
    <t xml:space="preserve">ВЛ-10/0,4кВ с.Утай </t>
  </si>
  <si>
    <t xml:space="preserve">Монтаж интегрированной системы "Орион" Болид и ОПС в Нижнеудинском РЭС </t>
  </si>
  <si>
    <t>C</t>
  </si>
  <si>
    <t>ВЛ 35 кВ ПС Киренга- ПС Небель</t>
  </si>
  <si>
    <t>36 км</t>
  </si>
  <si>
    <t>18 км</t>
  </si>
  <si>
    <t xml:space="preserve">ВЛ-110 кВ "Усть-Кут - Киренск" </t>
  </si>
  <si>
    <t>225 км</t>
  </si>
  <si>
    <t>48 км</t>
  </si>
  <si>
    <t>84 км</t>
  </si>
  <si>
    <t>Замена  АБ и ВАЗП на ПС СЭС</t>
  </si>
  <si>
    <t>Замена  ОД-КЗ и ВМ-110 кВ на ВЭ-110</t>
  </si>
  <si>
    <t>Замена  разрядников  на ОПН  на ПС СЭС</t>
  </si>
  <si>
    <t>Замена вводов  на ПС СЭС</t>
  </si>
  <si>
    <t>Замена выключателей  220 кВ на элегазовые</t>
  </si>
  <si>
    <t xml:space="preserve">Замена реакторов 500 кВ на БПП 500 </t>
  </si>
  <si>
    <t xml:space="preserve">Замена фиксирующих приборов ПС СЭС </t>
  </si>
  <si>
    <t>Переустройство ВЛ-110 кВ Лена-Киренск</t>
  </si>
  <si>
    <t>4.3 км</t>
  </si>
  <si>
    <t>ПС 110/10 кВ Северная реконструкция 2</t>
  </si>
  <si>
    <t>30 МВА</t>
  </si>
  <si>
    <t>15 МВА</t>
  </si>
  <si>
    <t xml:space="preserve">ПС БПП 500/220/10 Замена воздушных выключателей 500 кВ на элегазовые </t>
  </si>
  <si>
    <t>Расширение ОРУ-220 кВ с установкой двух дополнительных ячеек 220 кВ</t>
  </si>
  <si>
    <t>Реконструкция  ОРУ - 35 кВ ПС 35/10 кВ №24 и отпайки ВЛ-35-11</t>
  </si>
  <si>
    <t>1.5 км</t>
  </si>
  <si>
    <t xml:space="preserve">Реконструкция  ПС 110/10/6  Ново-Илимская </t>
  </si>
  <si>
    <t>Реконструкция  ПС 110/35/10  кВ Киренская</t>
  </si>
  <si>
    <t xml:space="preserve">Реконструкция  ПС 220/35/10 Покосное </t>
  </si>
  <si>
    <t>Реконструкция ВЛ 220 кВ 1 цепь Седановский переключательный пункт - Богучанская ГЭС с переводом ее на напряжение 35 кВ; ПС 220/35 Джижива и СПП 220/6</t>
  </si>
  <si>
    <t>Реконструкция ВЛ-35 кВ  ПС "Городская "-ПС "Чекановская "№35-10 , ПС "Строитель" -ПС "Чекановский ДОК" №35-16</t>
  </si>
  <si>
    <t>29 км</t>
  </si>
  <si>
    <t>20 км</t>
  </si>
  <si>
    <t>Реконструкция ОРУ - 110 кВ ПС Лена для подключения НПС - 6</t>
  </si>
  <si>
    <t xml:space="preserve">Реконструкция ПС 220/110/35 Коршуниха </t>
  </si>
  <si>
    <t>125 МВА</t>
  </si>
  <si>
    <t xml:space="preserve">Реконструкция ПС 35/6 кВ Новый Невон и  строительство ВЛ 10 кВ </t>
  </si>
  <si>
    <t xml:space="preserve">Реконструкция ПС-35/6 кВ "Осиновская" </t>
  </si>
  <si>
    <t>2 км</t>
  </si>
  <si>
    <t>Реконструкция УРЗА для реализации ОАПВ на ВЛ-500 кВ</t>
  </si>
  <si>
    <t>Установка ЦРАП в ОПУ -110 ПС 220/110/35 Коршуниха</t>
  </si>
  <si>
    <t>Установка ЦРАП в ОПУ-220 на ПС 220/110/35 Коршуниха</t>
  </si>
  <si>
    <t>Электроснабжение мелких потребителей</t>
  </si>
  <si>
    <t>4 км</t>
  </si>
  <si>
    <t>ВЛ-35 кВ Березняки Дальний</t>
  </si>
  <si>
    <t>80 км</t>
  </si>
  <si>
    <t>40 км</t>
  </si>
  <si>
    <t>Реконструкция  ВЛ-35 кВ Леоново -Калтук</t>
  </si>
  <si>
    <t>21 км</t>
  </si>
  <si>
    <t>Реконструкция  ПС  220/110/10 Опорная</t>
  </si>
  <si>
    <t>Реконструкция ВЛ-35 кВ СПП- Эдучанка</t>
  </si>
  <si>
    <t>Реконструкция ПС 110/10  Осетрово для подключения НПС-6</t>
  </si>
  <si>
    <t>Реконструкция распредсетей 35/6 кВ левобережной части г.Усть-Илимска</t>
  </si>
  <si>
    <t xml:space="preserve">Заход ВЛ 220 кВ в габаритах 500 кВ УИГЭС-Якурим на ОРУ-500 и 220 кВ ПС Усть-Кут </t>
  </si>
  <si>
    <t>2.2 км</t>
  </si>
  <si>
    <t>Заход-выход ВЛ 220 кВ Коршуниха - Звездная и ВЛ-220 кВ Лена-Якурим на ОРУ- 220 кВ ПС Усть-Кут</t>
  </si>
  <si>
    <t>12 км</t>
  </si>
  <si>
    <t xml:space="preserve">Строительство второй цепи ВЛ-110 кВ  Коршуниха - Хребтовая - Семигорск - Ручей - Усть-Кут -Лена </t>
  </si>
  <si>
    <t>135 км</t>
  </si>
  <si>
    <t>45 км</t>
  </si>
  <si>
    <t>50 км</t>
  </si>
  <si>
    <t>115 км</t>
  </si>
  <si>
    <t xml:space="preserve">Строительство второй цепи ВЛ-110 кВ Гидростроитель - Зяба-Кежма-Видим - Черная - Коршуниха </t>
  </si>
  <si>
    <t>197 км</t>
  </si>
  <si>
    <t>60 км</t>
  </si>
  <si>
    <t>70 км</t>
  </si>
  <si>
    <t>150 км</t>
  </si>
  <si>
    <t>Строительство гаража Качугского РЭС</t>
  </si>
  <si>
    <t>ПС 220/110 кВ Шелехово (реконструкция)</t>
  </si>
  <si>
    <t>200 МВА</t>
  </si>
  <si>
    <t>Реконструкция ПС 110 кВ Мельниково (замена Т-1, Т-2 25 МВА на 40 МВА, ОРУ-110)</t>
  </si>
  <si>
    <t>76 МВА</t>
  </si>
  <si>
    <t>106 МВА</t>
  </si>
  <si>
    <t>Реконструкция ПС 220 кВ Ново-Ленино (реконструкция ячеек ОРУ-110 Т-3 и Т-4, монтаж КРУН 6 кВ)</t>
  </si>
  <si>
    <t>17.5 МВА</t>
  </si>
  <si>
    <t>Реконструкция ПС 110 кВ Изумрудная (замена Т-1, Т-2 25 МВА на 40 МВА)</t>
  </si>
  <si>
    <t>2*40 МВА</t>
  </si>
  <si>
    <t>Реконструкция ПС 110 кВ Кировская (ЗРУ-6 кВ)</t>
  </si>
  <si>
    <t>Перевод сетей 6/10 кВ</t>
  </si>
  <si>
    <t>Реконструкция ПС 35 кВ Жилкино (замена Т-1 и Т-2 с защитами на 25 МВА, ОРУ-35 и РУ-6)</t>
  </si>
  <si>
    <t>2*25 МВА</t>
  </si>
  <si>
    <t>Перевод РП-10 кВ Марково в ПС 35 кВ Марково (Т-1 Т-2 по 16 МВА, ОРУ-35 кВ, КРУН)</t>
  </si>
  <si>
    <t>32 МВА</t>
  </si>
  <si>
    <t>Реконструкция ПС 220 кВ Бытовая (замена Т-1 и Т-2 на 63 МВА, перевод нагрузки1,2 СШ-6 кВ на 3,4 СШ-6 кВ)</t>
  </si>
  <si>
    <t>2*63 МВА</t>
  </si>
  <si>
    <t>Реконструкция ПС 110/35/6 кВ Южная</t>
  </si>
  <si>
    <t>2*20 МВА</t>
  </si>
  <si>
    <t>Развитие сетей 10 кВ ПС 220/10 кВ Восточная</t>
  </si>
  <si>
    <t>3,15 МВА, 14 км</t>
  </si>
  <si>
    <t>Реконструкция ПС 220 кВ Светлая с ВЛ 35 кВ Светлая - Баклаши</t>
  </si>
  <si>
    <t>Расширение АСУ РЭС</t>
  </si>
  <si>
    <t>Реконструкция ПС Центральная</t>
  </si>
  <si>
    <t>Перевод КЛ с ПС Октябрьская на ПС Центральная, ПС Городская</t>
  </si>
  <si>
    <t>Реконструкция центров питания с целью приведения качества напряжения в соответствие с ГОСТ-13109-97</t>
  </si>
  <si>
    <t xml:space="preserve">Реконструкция ПС 110/6 кВ Спутник. Развитие сетей 6 кВ </t>
  </si>
  <si>
    <t>Реконструкция ТП (замена РУ-6/10 кВ на RM-6) и ПС</t>
  </si>
  <si>
    <t>Реконструкция ПС 35/10 кВ Баклаши</t>
  </si>
  <si>
    <t>2*10 МВА</t>
  </si>
  <si>
    <t>Реконструкция ПС Октябрьская</t>
  </si>
  <si>
    <t>1250 км</t>
  </si>
  <si>
    <t>250 км</t>
  </si>
  <si>
    <t>Реконструкция трансформаторной мастерской с башней с открытым складом масла ПС 220 кВ Н-Ленино</t>
  </si>
  <si>
    <t>Реконструкция  КЛ 0,4/6-10 кВ</t>
  </si>
  <si>
    <t>Реконструкция ПС 220 кВ БЦБК (реконструкция защит, схем СН и ОТ с заменой АБ)</t>
  </si>
  <si>
    <t>2*40 МВА,2*10 МВА</t>
  </si>
  <si>
    <t>Телемеханика распредсетей 10/6/0,4 кВ</t>
  </si>
  <si>
    <t>Реконструкция телемеханики системных подстанций</t>
  </si>
  <si>
    <t>Компенсация емкостных токов</t>
  </si>
  <si>
    <t>Создание САОН Иркутско-Черемховского энергорайона</t>
  </si>
  <si>
    <t>ПС 110 кВ Патроны с ВЛ 110 кВ</t>
  </si>
  <si>
    <t>ПС 110 кВ Новая Лисиха с ВЛ 110 кВ</t>
  </si>
  <si>
    <t>ПС 220/110/10 кВ Восточная с ВЛ-220 кВ "Иркутская - Восточная  и ВЛ 110 кВ"</t>
  </si>
  <si>
    <t>Реконструкция ПС Введенщина с переводом на 35 кВ</t>
  </si>
  <si>
    <t>2*4 МВА</t>
  </si>
  <si>
    <t>8 МВА</t>
  </si>
  <si>
    <t>КИВС</t>
  </si>
  <si>
    <t>ПС 220 кВ Левобережная с ВЛ 220 кВ</t>
  </si>
  <si>
    <t>ПС 110/10/6 кВ РКК-2 с КЛ-110 кВ Кировская  -  ПП-3 -  РКК-2</t>
  </si>
  <si>
    <t>2*63 МВА,2,2 км</t>
  </si>
  <si>
    <t>63 МВА</t>
  </si>
  <si>
    <t>Строительство центров питания и ВЛ 10/0,4 кВ  с целью приведения качества напряжения в соответствие с ГОСТ-13109-97</t>
  </si>
  <si>
    <t>0,25 МВА,1,5 км</t>
  </si>
  <si>
    <t>159 км</t>
  </si>
  <si>
    <t>31.8 км</t>
  </si>
  <si>
    <t>50 МВА / 0,1 км</t>
  </si>
  <si>
    <t xml:space="preserve">0,1 км/50 МВА </t>
  </si>
  <si>
    <t xml:space="preserve">2.2 км / 126 МВА </t>
  </si>
  <si>
    <t>Строительство производственной базы и склада Иркутская область, г. Иркутск, ул. Безбокова, 38</t>
  </si>
  <si>
    <t>Пожароохранные мероприятия на объектах ИЭСК</t>
  </si>
  <si>
    <t>Оборудование не требующее монтажа</t>
  </si>
  <si>
    <t xml:space="preserve">Приобретение объектов сетевой инфроструктуры и ЗУ под объектами 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</si>
  <si>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</si>
  <si>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</si>
  <si>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</si>
  <si>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</si>
  <si>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</si>
  <si>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</si>
  <si>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</si>
  <si>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</si>
  <si>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</si>
  <si>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</si>
  <si>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</si>
  <si>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</si>
  <si>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</si>
  <si>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</si>
  <si>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</si>
  <si>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</si>
  <si>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</si>
  <si>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</si>
  <si>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</si>
  <si>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</si>
  <si>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</si>
  <si>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</si>
  <si>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</si>
  <si>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</si>
  <si>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</si>
  <si>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</si>
  <si>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</si>
  <si>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</si>
  <si>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</si>
  <si>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</si>
  <si>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</si>
  <si>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</si>
  <si>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</si>
  <si>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</si>
  <si>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</si>
  <si>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</si>
  <si>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</si>
  <si>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</si>
  <si>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</si>
  <si>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</si>
  <si>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</si>
  <si>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</si>
  <si>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</si>
  <si>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</si>
  <si>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</si>
  <si>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</si>
  <si>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</si>
  <si>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</si>
  <si>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</si>
  <si>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</si>
  <si>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1.1.51</t>
  </si>
  <si>
    <t>1.1.52</t>
  </si>
  <si>
    <t>1.1.53</t>
  </si>
  <si>
    <t>1.1.54</t>
  </si>
  <si>
    <t>1.1.55</t>
  </si>
  <si>
    <t>1.1.56</t>
  </si>
  <si>
    <t>1.1.57</t>
  </si>
  <si>
    <t>1.1.58</t>
  </si>
  <si>
    <t>1.1.59</t>
  </si>
  <si>
    <t>1.1.60</t>
  </si>
  <si>
    <t>1.1.61</t>
  </si>
  <si>
    <t>1.1.62</t>
  </si>
  <si>
    <t>1.1.63</t>
  </si>
  <si>
    <t>1.1.64</t>
  </si>
  <si>
    <t>1.1.65</t>
  </si>
  <si>
    <t>1.1.66</t>
  </si>
  <si>
    <t>1.1.67</t>
  </si>
  <si>
    <t>1.1.68</t>
  </si>
  <si>
    <t>1.1.69</t>
  </si>
  <si>
    <t>1.1.70</t>
  </si>
  <si>
    <t>1.1.71</t>
  </si>
  <si>
    <t>1.1.72</t>
  </si>
  <si>
    <t>1.1.73</t>
  </si>
  <si>
    <t>1.1.74</t>
  </si>
  <si>
    <t>1.1.75</t>
  </si>
  <si>
    <t>1.1.76</t>
  </si>
  <si>
    <t>1.1.77</t>
  </si>
  <si>
    <t>1.1.78</t>
  </si>
  <si>
    <t>1.1.79</t>
  </si>
  <si>
    <t>1.1.80</t>
  </si>
  <si>
    <t>1.1.81</t>
  </si>
  <si>
    <t>1.1.82</t>
  </si>
  <si>
    <t>1.1.83</t>
  </si>
  <si>
    <t>1.1.84</t>
  </si>
  <si>
    <t>1.1.85</t>
  </si>
  <si>
    <t>1.1.86</t>
  </si>
  <si>
    <t>1.1.87</t>
  </si>
  <si>
    <t>1.1.88</t>
  </si>
  <si>
    <t>1.1.89</t>
  </si>
  <si>
    <t>1.1.90</t>
  </si>
  <si>
    <t>1.1.91</t>
  </si>
  <si>
    <t>1.1.92</t>
  </si>
  <si>
    <t>1.1.93</t>
  </si>
  <si>
    <t>1.1.94</t>
  </si>
  <si>
    <t>1.1.95</t>
  </si>
  <si>
    <t>1.1.96</t>
  </si>
  <si>
    <t>1.1.97</t>
  </si>
  <si>
    <t>1.1.98</t>
  </si>
  <si>
    <t>1.1.99</t>
  </si>
  <si>
    <t>1.1.100</t>
  </si>
  <si>
    <t>1.1.101</t>
  </si>
  <si>
    <t>1.1.102</t>
  </si>
  <si>
    <t>1.1.103</t>
  </si>
  <si>
    <t>1.1.104</t>
  </si>
  <si>
    <t>1.1.105</t>
  </si>
  <si>
    <t>1.1.106</t>
  </si>
  <si>
    <t>1.1.107</t>
  </si>
  <si>
    <t>1.1.108</t>
  </si>
  <si>
    <t>1.1.109</t>
  </si>
  <si>
    <t>1.1.110</t>
  </si>
  <si>
    <t>1.1.111</t>
  </si>
  <si>
    <t>1.1.112</t>
  </si>
  <si>
    <t>1.1.114</t>
  </si>
  <si>
    <t>1.1.115</t>
  </si>
  <si>
    <t>1.1.116</t>
  </si>
  <si>
    <t>1.1.117</t>
  </si>
  <si>
    <t>1.1.118</t>
  </si>
  <si>
    <t>1.1.119</t>
  </si>
  <si>
    <t>1.1.120</t>
  </si>
  <si>
    <t>1.1.121</t>
  </si>
  <si>
    <t>1.1.122</t>
  </si>
  <si>
    <t>1.1.123</t>
  </si>
  <si>
    <t>1.1.124</t>
  </si>
  <si>
    <t>1.1.125</t>
  </si>
  <si>
    <t>1.1.126</t>
  </si>
  <si>
    <t>1.1.127</t>
  </si>
  <si>
    <t>1.1.128</t>
  </si>
  <si>
    <t>1.1.129</t>
  </si>
  <si>
    <t>1.1.130</t>
  </si>
  <si>
    <t>1.1.131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</si>
  <si>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</si>
  <si>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</si>
  <si>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</si>
  <si>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</si>
  <si>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</si>
  <si>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</si>
  <si>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</si>
  <si>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</si>
  <si>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</si>
  <si>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</si>
  <si>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</si>
  <si>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</si>
  <si>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</si>
  <si>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</si>
  <si>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</si>
  <si>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</si>
  <si>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</si>
  <si>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</si>
  <si>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</si>
  <si>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</si>
  <si>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</si>
  <si>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</si>
  <si>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</si>
  <si>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</si>
  <si>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</si>
  <si>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</si>
  <si>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1.4.1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</si>
  <si>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</si>
  <si>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</si>
  <si>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</si>
  <si>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</si>
  <si>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</si>
  <si>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</si>
  <si>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</si>
  <si>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</si>
  <si>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</si>
  <si>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</si>
  <si>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</si>
  <si>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</si>
  <si>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</si>
  <si>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</si>
  <si>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</si>
  <si>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</si>
  <si>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</si>
  <si>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</si>
  <si>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</si>
  <si>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</si>
  <si>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</si>
  <si>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</si>
  <si>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</si>
  <si>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</si>
  <si>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</si>
  <si>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</si>
  <si>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</si>
  <si>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</si>
  <si>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</si>
  <si>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</si>
  <si>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</si>
  <si>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</si>
  <si>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</si>
  <si>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</si>
  <si>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</si>
  <si>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</si>
  <si>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</si>
  <si>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</si>
  <si>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</si>
  <si>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</si>
  <si>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</si>
  <si>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</si>
  <si>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</si>
  <si>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</si>
  <si>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</si>
  <si>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</si>
  <si>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22 км</t>
  </si>
  <si>
    <t>40 МВА</t>
  </si>
  <si>
    <t>126 МВА</t>
  </si>
  <si>
    <t>20 МВА</t>
  </si>
  <si>
    <t>80 МВА</t>
  </si>
  <si>
    <t>0.3 км 0.05 МВА</t>
  </si>
  <si>
    <t>Система сбора и передачи информации на ПС ЦЭС</t>
  </si>
  <si>
    <t>Система сбора и передачи информации на ПС ЗЭС</t>
  </si>
  <si>
    <t>Система сбора и передачи информации на ПС ЮЭС</t>
  </si>
  <si>
    <t>Система сбора и передачи информации на ПС СЭС</t>
  </si>
  <si>
    <t>Система сбора и передачи информации на ПС ВЭС</t>
  </si>
  <si>
    <t>13км/1,2МВА</t>
  </si>
  <si>
    <t>4МВА</t>
  </si>
  <si>
    <t>8МВА</t>
  </si>
  <si>
    <t>8,5км/1,5МВА</t>
  </si>
  <si>
    <t>11км/1,2МВА</t>
  </si>
  <si>
    <t>3,15 МВА/ 14 км</t>
  </si>
  <si>
    <t>2*63 МВА/ 5.2 км</t>
  </si>
  <si>
    <t>2*25 МВА/0,1 км</t>
  </si>
  <si>
    <t>2*250 МВА/71 км</t>
  </si>
  <si>
    <t>2*16 МВА/ 3.1 км</t>
  </si>
  <si>
    <t>5 МВА/26 км</t>
  </si>
  <si>
    <t>1*32 МВА/1*40 МВА</t>
  </si>
  <si>
    <t>2*40 МВА/ 2*63 МВА</t>
  </si>
  <si>
    <t>403.51 км/93.2 МВА</t>
  </si>
  <si>
    <t>379.9 км/859.5 МВА</t>
  </si>
  <si>
    <t>399.12 км/268.15 МВА</t>
  </si>
  <si>
    <t>2124.48 км/1923.85 МВА</t>
  </si>
  <si>
    <t>5.2 км/1 МВА</t>
  </si>
  <si>
    <t>50 МВА</t>
  </si>
  <si>
    <t xml:space="preserve"> 5.2 км /126 МВА</t>
  </si>
  <si>
    <t xml:space="preserve">5.2 км / 126 МВА </t>
  </si>
  <si>
    <t>71 км/500 МВА</t>
  </si>
  <si>
    <t>Система сбора и передачи информации по ПС ЦЭС</t>
  </si>
  <si>
    <t>ИТОГО</t>
  </si>
  <si>
    <t>ПС, тыс.кВА</t>
  </si>
  <si>
    <t>Замена РВС-110-35-10 кВ на ОПН-110-35-10 кВ по ПС ЦЭС (ПРП, Пионерская, Вокзальная, ЗГО, Белореченская, Черемхово, Огнеупоры, Карьерная, Кутулик-110</t>
  </si>
  <si>
    <t>ПС-500/220/110/35/10/6 кВ "Иркутская" Автоматическая установка охранно-пожарной сигнализации АВСР (кладовые и здание СИиЗП)</t>
  </si>
  <si>
    <t>ВЛ, км</t>
  </si>
  <si>
    <t>КЛ, км</t>
  </si>
  <si>
    <t>Установка ИБП СДТУ на ПС 35/10 кВ "Тараса"</t>
  </si>
  <si>
    <t>Реконструкция распред сетей 10-0,4 кВ с целью приведения качества напряжения в соответствие с ГОСТ-13109-97 (КТП)</t>
  </si>
  <si>
    <t>Строительство распред сетей 10-0,4 кВ с целью приведения качества напряжения в соответствие с ГОСТ-13109-97 (КТП)</t>
  </si>
  <si>
    <t>Строительство распред.сетей 10/0,4 кВ для эл. группы малоэтажных домов, располож. по адрес: Иркутский р-н, кадаст № 38:06:141904:985, п. Пивовариха (КТП)</t>
  </si>
  <si>
    <t>Строительство распред.сетей 10/0,4 кВ для эл. группы малоэтажных домов, располож. по адрес: Иркутский р-н, кадаст № 38:06:143519:4778, п. Новолисиха (КТП)</t>
  </si>
  <si>
    <t>Реконструкция распред сетей 10-0,4 кВ с целью приведения качества напряжения в соответствие с ГОСТ-13109-97 (ВЛ)</t>
  </si>
  <si>
    <t>Строительство распред сетей 10-0,4 кВ с целью приведения качества напряжения в соответствие с ГОСТ-13109-97 (ВЛ)</t>
  </si>
  <si>
    <t>Строительство распред.сетей 10/0,4 кВ для эл. группы малоэтажных домов, располож. по адрес: Иркутский р-н, кадаст № 38:06:141904:985, п. Пивовариха (ВЛ)</t>
  </si>
  <si>
    <t>Строительство распред.сетей 10/0,4 кВ для эл. группы малоэтажных домов, располож. по адрес: Иркутский р-н, кадаст № 38:06:143519:4778, п. Новолисиха (ВЛ)</t>
  </si>
  <si>
    <t>Реконструкция устройств РЗА для реализации ОАПВ ВЛ 500 кВ № 560, 561, 562, 563, 564</t>
  </si>
  <si>
    <t>Реконструкция УРЗА для реализации ОАПВ на ВЛ-500 кВ №  569, 570</t>
  </si>
  <si>
    <t>1.2.10</t>
  </si>
  <si>
    <t xml:space="preserve">Основные защиты ВЛ  220 кВ   Ж/д транзита Коршуниха - Киренга </t>
  </si>
  <si>
    <t>Реконструкция устройств РЗА ПС, ВЛ 6-220 кВ</t>
  </si>
  <si>
    <t>Реконструкция защит ПС 35-500 кВ ЦЭС</t>
  </si>
  <si>
    <t>Реконструкция устройств РЗА ПС, ВЛ 6-220 кВ ЮЭС</t>
  </si>
  <si>
    <t>1.1.113</t>
  </si>
  <si>
    <t>390.15 км /299 МВА</t>
  </si>
  <si>
    <t>551.8 км/404 МВА</t>
  </si>
  <si>
    <t xml:space="preserve">План 2015 года </t>
  </si>
  <si>
    <t xml:space="preserve">План 2016 года </t>
  </si>
  <si>
    <t xml:space="preserve">План 2017 года </t>
  </si>
  <si>
    <t xml:space="preserve">План 2018 года </t>
  </si>
  <si>
    <t xml:space="preserve">План 2019 года </t>
  </si>
  <si>
    <t>Директор по экономике и финансам                                                        А.Ю.Хвостов</t>
  </si>
  <si>
    <t>1.3.18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</si>
  <si>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</si>
  <si>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</si>
  <si>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</si>
  <si>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</si>
  <si>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</si>
  <si>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</si>
  <si>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</si>
  <si>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</si>
  <si>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</si>
  <si>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</si>
  <si>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1.5.11</t>
  </si>
  <si>
    <t>1.5.12</t>
  </si>
  <si>
    <t>1.5.13</t>
  </si>
  <si>
    <t>2.2.11</t>
  </si>
  <si>
    <t>2.2.12</t>
  </si>
  <si>
    <t>Автоматизированная информационно-измерительная система коммерческого учета электроэнергии»СЭС (АИИС КУЭ )</t>
  </si>
  <si>
    <t>Автоматизированная информационно-измерительная система коммерческого учета электроэнергии многоквартирных домов ЮЭС (АИИС КУЭ МКД)</t>
  </si>
  <si>
    <t>Автоматизированная информационно-измерительная система коммерческого учета электроэнергии ВЭС (АИИС КУЭ )</t>
  </si>
  <si>
    <t>Автоматизированная информационно-измерительная система коммерческого учета электроэнергии потребителей 0,4 кВ» ЦЭС (АИИС КУЭ)</t>
  </si>
  <si>
    <t>646.51 км/692.75 МВА</t>
  </si>
  <si>
    <t>823.9 км/806.35 МВА</t>
  </si>
  <si>
    <t>243 км/599.55 МВА</t>
  </si>
  <si>
    <t>272.1 км/402.35 МВА</t>
  </si>
  <si>
    <t>Автоматизированная информационно-измерительная система коммерческого учета электроэнергии ЦЭС  (АИИС КУЭ )</t>
  </si>
  <si>
    <t>Реконструкция ВЛ-10-0,4 кВ с КТП ЦЭС</t>
  </si>
  <si>
    <t>Автоматизированная информационно-измерительная система коммерческого учета электроэнергии потребителей 0,4 кВ СЭС (АИИС КУЭ)</t>
  </si>
  <si>
    <t>Автоматизированная информационно-измерительная система коммерческого учета электроэнергии многоквартирных домов ЮЭС(АИИС КУЭ МКД)</t>
  </si>
  <si>
    <t>1.2.11</t>
  </si>
  <si>
    <t>1.2.12</t>
  </si>
  <si>
    <t>1.2.13</t>
  </si>
  <si>
    <t>Установка устройств АЛАР (ФССС, ФЦ, ЗНПФ) ВЛ 500 кВ УПК Тыреть – Ключи (ВЛ-566) на УПК Тыреть 500 кВ и ПС 500 кВ Ключи</t>
  </si>
  <si>
    <t>Установка устройств АЛАР (ФССС, ФЦ, ЗНПФ) ВЛ 500 кВ Иркутская – Ключи (ВЛ-581) на ПС 500 кВ Иркутская и ПС 500 кВ Ключи</t>
  </si>
  <si>
    <t>Замена оборудования телемеханики  на ПС СЭС</t>
  </si>
  <si>
    <t>Корпоративная информационная сеть ЮЭС</t>
  </si>
  <si>
    <t>Автоматизированная информационно-измерительная система коммерческого учета электроэнергии ЗЭС</t>
  </si>
  <si>
    <t xml:space="preserve">Объекты строительства для обеспечения технологического присоединения к электрическим сетям ВЛ-10/0,4 кВ ЮЭС </t>
  </si>
  <si>
    <t>Объекты реконструкции для обеспечения технологического присоединения к электрическим сетям ВЛ-10/0,4 кВ ВЭС</t>
  </si>
  <si>
    <t xml:space="preserve">Объекты реконструкции для обеспечения технологического присоединения к электрическим сетям ВЛ-10/0,4 кВ ЗЭС </t>
  </si>
  <si>
    <t>Реконструкция распределительных сетей 10/0,4 кв СЭС</t>
  </si>
  <si>
    <t>Замена аккумуляторных батарей на ПС ЮЭС</t>
  </si>
  <si>
    <t>Замена выключателей 220 кВ на ПС ЮЭС</t>
  </si>
  <si>
    <t>Строительство ВЛ-10-6-0,4 кВ для обеспечения технологического присоединения потребителей ЦЭС</t>
  </si>
  <si>
    <t>Объекты строительства для обеспечения технологического присоединения к электрическим сетям ВЛ-10/0,4 кВ ВЭС</t>
  </si>
  <si>
    <t>Объекты реконструкции для обеспечения технологического присоединения к электрическим сетям ВЛ-10/0,4 кВ ЗЭС</t>
  </si>
  <si>
    <t>Объекты строительства для обеспечения технологического присоединения к электрическим сетям ВЛ-10/0,4 кВ ЗЭС</t>
  </si>
  <si>
    <t>Замена оборудования телемеханики на ПС СЭС</t>
  </si>
  <si>
    <t xml:space="preserve">Компенсация емкостных токов </t>
  </si>
  <si>
    <t>Строительство ВЛ-10-6-0,4 кВ для обеспечения технологического присоединения потребителей ВЭС</t>
  </si>
  <si>
    <t>Реконструкция ВЛ-10-6-0,4 кВ для обеспечения технологического присоединения потребителей ВЭС</t>
  </si>
  <si>
    <t>Объекты строительства для обеспечения технологического присоединения к электрическим сетям ВЛ-10/0,4 кВ ЮЭС</t>
  </si>
  <si>
    <t xml:space="preserve">Объекты строительства и  реконструкции для обеспечения технологического присоединения к электрическим сетям ВЛ-10/0,4 кВ ЮЭС </t>
  </si>
  <si>
    <t xml:space="preserve">Прочие техперевооружения и реконструкция </t>
  </si>
  <si>
    <t>1.2.14</t>
  </si>
  <si>
    <t>1.2.15</t>
  </si>
  <si>
    <t>Реконструкция ВЛ-10-6-0,4 кВ  СЭС</t>
  </si>
  <si>
    <t>583.25 км/443.95 МВА</t>
  </si>
  <si>
    <t>193.1 км/144.95 МВА</t>
  </si>
  <si>
    <t>Объекты реконструкции для обеспечения технологического присоединения к электрическим сетям ВЛ-10/0,4 кВ ЮЭС:</t>
  </si>
  <si>
    <t>1.1.131.1</t>
  </si>
  <si>
    <t>2*250 МВА/2*16 МВА/ 9 км</t>
  </si>
  <si>
    <t>203 МВА</t>
  </si>
  <si>
    <t>406 МВА</t>
  </si>
  <si>
    <t>242.7 км/322.25 МВА</t>
  </si>
  <si>
    <t>257.1 км/319.05 МВА</t>
  </si>
  <si>
    <t>1208 км/1788.15 МВА</t>
  </si>
  <si>
    <t>622.6 км/1181.75 МВА</t>
  </si>
  <si>
    <t>656.22 км/587.2 МВА</t>
  </si>
  <si>
    <t>3332.48 км/3712 МВА</t>
  </si>
  <si>
    <t>Приложение</t>
  </si>
  <si>
    <t>Перечень инвестиционных проектов и план их финансирования</t>
  </si>
  <si>
    <t>Основные характеристики инвестиционной программы ОАО «Иркутская электросетевая компания» на 2015 – 2019 годы</t>
  </si>
  <si>
    <t xml:space="preserve">Прогноз ввода/вывода объектов </t>
  </si>
  <si>
    <t xml:space="preserve">
</t>
  </si>
  <si>
    <t>км, МВА</t>
  </si>
  <si>
    <t>* при осуществлении технического перевооружения и реконструкции действующих объектов основных средств указывается увеличение первоначальной стоимости объектов основных средств (без НДС) в результате технического перевооружения и реконструкции</t>
  </si>
  <si>
    <t>** при осуществлении технического перевооружения и реконструкции действующих объектов основных средств указывается увеличение первоначальной стоимости объектов основных средств (без НДС) в результате технического перевооружения и реконструкции</t>
  </si>
  <si>
    <t>Первоначальная стоимость вводимых основных средств (без НДС)*</t>
  </si>
  <si>
    <t>*</t>
  </si>
  <si>
    <t>С - строительство, П - проектирование.</t>
  </si>
  <si>
    <t>**</t>
  </si>
  <si>
    <t>Согласно проектной документации в текущих ценах (с НДС).</t>
  </si>
  <si>
    <t>***</t>
  </si>
  <si>
    <t>Для сетевых организаций, переходящих на метод тарифного регулирования RAB, горизонт планирования может быть больше.</t>
  </si>
  <si>
    <t>****</t>
  </si>
  <si>
    <t>В прогнозных ценах соответствующего года.</t>
  </si>
  <si>
    <t>в т.ч. электроснабжение ДНТ, СНТ</t>
  </si>
  <si>
    <t>млн.руб.</t>
  </si>
  <si>
    <t>км/МВА</t>
  </si>
  <si>
    <t xml:space="preserve">План 
 2015 года </t>
  </si>
  <si>
    <t xml:space="preserve">План 
2016 года </t>
  </si>
  <si>
    <t xml:space="preserve">План 
2017 года </t>
  </si>
  <si>
    <t xml:space="preserve">План 
2018 года </t>
  </si>
  <si>
    <t xml:space="preserve">План 
2019 года </t>
  </si>
  <si>
    <t>МВт/Гкал/ч/
км/МВА</t>
  </si>
  <si>
    <t>км/МВА/другое **</t>
  </si>
  <si>
    <t>** иные натуральные количественные показатели объектов основных средств</t>
  </si>
  <si>
    <t>План 
финансиро-вания 
текущего года</t>
  </si>
  <si>
    <t>Стадия реализа-ции проекта</t>
  </si>
  <si>
    <t>от «____»___________2014 г. №_____</t>
  </si>
  <si>
    <t xml:space="preserve">План 
2015 года </t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</si>
</sst>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#,##0.000"/>
    <numFmt numFmtId="166" formatCode="0.000"/>
    <numFmt numFmtId="167" formatCode="0.0000"/>
    <numFmt numFmtId="168" formatCode="#,##0_);[Red]\(#,##0\);&quot;-&quot;_);[Blue]&quot;Error-&quot;@"/>
    <numFmt numFmtId="169" formatCode="#,##0,"/>
    <numFmt numFmtId="170" formatCode="#,##0.00_р_."/>
  </numFmts>
  <fonts count="51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0"/>
      <name val="NTHelvetica/Cyrillic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28"/>
      <name val="Times New Roman"/>
      <family val="1"/>
      <charset val="204"/>
    </font>
    <font>
      <b/>
      <sz val="10"/>
      <name val="Times New Roman"/>
      <family val="1"/>
      <charset val="204"/>
    </font>
    <font>
      <sz val="26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sz val="24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5">
    <xf numFmtId="0" fontId="0" fillId="0" borderId="0"/>
    <xf numFmtId="0" fontId="26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8" fontId="30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28" fillId="0" borderId="0"/>
    <xf numFmtId="0" fontId="31" fillId="0" borderId="0"/>
    <xf numFmtId="0" fontId="1" fillId="0" borderId="0"/>
    <xf numFmtId="0" fontId="28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45" fillId="0" borderId="0"/>
    <xf numFmtId="0" fontId="1" fillId="0" borderId="0"/>
  </cellStyleXfs>
  <cellXfs count="176">
    <xf numFmtId="0" fontId="0" fillId="0" borderId="0" xfId="0"/>
    <xf numFmtId="0" fontId="2" fillId="24" borderId="17" xfId="0" applyFont="1" applyFill="1" applyBorder="1" applyAlignment="1">
      <alignment horizontal="center" vertical="center" wrapText="1"/>
    </xf>
    <xf numFmtId="0" fontId="1" fillId="0" borderId="0" xfId="76" applyFont="1"/>
    <xf numFmtId="0" fontId="2" fillId="0" borderId="0" xfId="76" applyFont="1"/>
    <xf numFmtId="0" fontId="1" fillId="24" borderId="0" xfId="0" applyFont="1" applyFill="1"/>
    <xf numFmtId="0" fontId="0" fillId="24" borderId="0" xfId="0" applyFill="1"/>
    <xf numFmtId="0" fontId="1" fillId="0" borderId="0" xfId="76" applyFont="1" applyAlignment="1">
      <alignment horizontal="left"/>
    </xf>
    <xf numFmtId="0" fontId="1" fillId="0" borderId="12" xfId="76" applyFont="1" applyFill="1" applyBorder="1" applyAlignment="1">
      <alignment horizontal="left" vertical="center"/>
    </xf>
    <xf numFmtId="0" fontId="1" fillId="0" borderId="15" xfId="76" applyFont="1" applyFill="1" applyBorder="1" applyAlignment="1">
      <alignment horizontal="left" vertical="center"/>
    </xf>
    <xf numFmtId="0" fontId="1" fillId="0" borderId="0" xfId="76" applyFont="1" applyFill="1" applyBorder="1"/>
    <xf numFmtId="0" fontId="1" fillId="0" borderId="0" xfId="76" applyFont="1" applyFill="1" applyBorder="1" applyAlignment="1">
      <alignment horizontal="left" vertical="center" wrapText="1" indent="4"/>
    </xf>
    <xf numFmtId="0" fontId="1" fillId="0" borderId="0" xfId="76" applyFont="1" applyFill="1" applyBorder="1" applyAlignment="1">
      <alignment horizontal="left" vertical="center"/>
    </xf>
    <xf numFmtId="0" fontId="1" fillId="0" borderId="0" xfId="76" applyFont="1" applyBorder="1"/>
    <xf numFmtId="0" fontId="2" fillId="0" borderId="0" xfId="76" applyFont="1" applyBorder="1" applyAlignment="1">
      <alignment horizontal="center" vertical="center" wrapText="1"/>
    </xf>
    <xf numFmtId="1" fontId="2" fillId="0" borderId="0" xfId="76" applyNumberFormat="1" applyFont="1" applyAlignment="1">
      <alignment horizontal="left" vertical="top"/>
    </xf>
    <xf numFmtId="2" fontId="1" fillId="0" borderId="0" xfId="76" applyNumberFormat="1" applyFont="1" applyAlignment="1">
      <alignment vertical="top"/>
    </xf>
    <xf numFmtId="49" fontId="1" fillId="0" borderId="0" xfId="76" applyNumberFormat="1" applyFont="1" applyAlignment="1">
      <alignment horizontal="left" vertical="top" wrapText="1"/>
    </xf>
    <xf numFmtId="2" fontId="1" fillId="0" borderId="0" xfId="76" applyNumberFormat="1" applyFont="1" applyAlignment="1">
      <alignment horizontal="center" vertical="top" wrapText="1"/>
    </xf>
    <xf numFmtId="0" fontId="1" fillId="0" borderId="0" xfId="76" applyFont="1" applyFill="1"/>
    <xf numFmtId="0" fontId="1" fillId="0" borderId="10" xfId="76" applyFont="1" applyFill="1" applyBorder="1" applyAlignment="1">
      <alignment horizontal="left" vertical="center" wrapText="1"/>
    </xf>
    <xf numFmtId="0" fontId="2" fillId="0" borderId="10" xfId="76" applyFont="1" applyFill="1" applyBorder="1" applyAlignment="1">
      <alignment horizontal="left" vertical="center" wrapText="1"/>
    </xf>
    <xf numFmtId="0" fontId="1" fillId="0" borderId="10" xfId="76" applyFont="1" applyFill="1" applyBorder="1" applyAlignment="1">
      <alignment horizontal="right" vertical="center" wrapText="1"/>
    </xf>
    <xf numFmtId="0" fontId="2" fillId="0" borderId="19" xfId="76" applyFont="1" applyBorder="1" applyAlignment="1">
      <alignment horizontal="center" vertical="center" wrapText="1"/>
    </xf>
    <xf numFmtId="0" fontId="2" fillId="0" borderId="17" xfId="76" applyFont="1" applyBorder="1" applyAlignment="1">
      <alignment horizontal="center" vertical="center" wrapText="1"/>
    </xf>
    <xf numFmtId="0" fontId="2" fillId="0" borderId="20" xfId="76" applyFont="1" applyBorder="1" applyAlignment="1">
      <alignment horizontal="center" vertical="center" wrapText="1"/>
    </xf>
    <xf numFmtId="0" fontId="1" fillId="0" borderId="12" xfId="76" applyFont="1" applyFill="1" applyBorder="1" applyAlignment="1">
      <alignment horizontal="center" vertical="center" wrapText="1"/>
    </xf>
    <xf numFmtId="0" fontId="1" fillId="0" borderId="12" xfId="76" applyFont="1" applyFill="1" applyBorder="1" applyAlignment="1">
      <alignment horizontal="center" vertical="center"/>
    </xf>
    <xf numFmtId="0" fontId="1" fillId="0" borderId="12" xfId="76" applyNumberFormat="1" applyFont="1" applyFill="1" applyBorder="1" applyAlignment="1">
      <alignment horizontal="center" vertical="center"/>
    </xf>
    <xf numFmtId="0" fontId="2" fillId="0" borderId="12" xfId="76" applyFont="1" applyFill="1" applyBorder="1" applyAlignment="1">
      <alignment horizontal="left" vertical="center"/>
    </xf>
    <xf numFmtId="0" fontId="1" fillId="0" borderId="13" xfId="76" applyFont="1" applyFill="1" applyBorder="1" applyAlignment="1">
      <alignment horizontal="right" vertical="center" wrapText="1"/>
    </xf>
    <xf numFmtId="49" fontId="1" fillId="24" borderId="0" xfId="0" applyNumberFormat="1" applyFont="1" applyFill="1"/>
    <xf numFmtId="0" fontId="2" fillId="24" borderId="0" xfId="0" applyFont="1" applyFill="1"/>
    <xf numFmtId="0" fontId="1" fillId="24" borderId="10" xfId="0" applyFont="1" applyFill="1" applyBorder="1" applyAlignment="1">
      <alignment horizontal="left" vertical="center" wrapText="1"/>
    </xf>
    <xf numFmtId="0" fontId="1" fillId="24" borderId="0" xfId="0" applyFont="1" applyFill="1" applyAlignment="1">
      <alignment horizontal="center"/>
    </xf>
    <xf numFmtId="0" fontId="1" fillId="24" borderId="10" xfId="0" applyFont="1" applyFill="1" applyBorder="1" applyAlignment="1">
      <alignment horizontal="center" vertical="center" wrapText="1"/>
    </xf>
    <xf numFmtId="165" fontId="2" fillId="24" borderId="10" xfId="0" applyNumberFormat="1" applyFont="1" applyFill="1" applyBorder="1" applyAlignment="1">
      <alignment horizontal="center" vertical="center" wrapText="1"/>
    </xf>
    <xf numFmtId="165" fontId="1" fillId="24" borderId="0" xfId="0" applyNumberFormat="1" applyFont="1" applyFill="1"/>
    <xf numFmtId="49" fontId="1" fillId="24" borderId="12" xfId="0" applyNumberFormat="1" applyFont="1" applyFill="1" applyBorder="1" applyAlignment="1">
      <alignment horizontal="center" vertical="center" wrapText="1"/>
    </xf>
    <xf numFmtId="166" fontId="1" fillId="24" borderId="10" xfId="0" applyNumberFormat="1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center" vertical="center"/>
    </xf>
    <xf numFmtId="0" fontId="0" fillId="24" borderId="10" xfId="0" applyNumberFormat="1" applyFont="1" applyFill="1" applyBorder="1" applyAlignment="1">
      <alignment horizontal="center" vertical="center" wrapText="1"/>
    </xf>
    <xf numFmtId="164" fontId="2" fillId="24" borderId="10" xfId="0" applyNumberFormat="1" applyFont="1" applyFill="1" applyBorder="1" applyAlignment="1">
      <alignment horizontal="center" vertical="center" wrapText="1"/>
    </xf>
    <xf numFmtId="165" fontId="1" fillId="24" borderId="10" xfId="0" applyNumberFormat="1" applyFont="1" applyFill="1" applyBorder="1" applyAlignment="1">
      <alignment horizontal="center" vertical="center" wrapText="1"/>
    </xf>
    <xf numFmtId="164" fontId="1" fillId="24" borderId="10" xfId="0" applyNumberFormat="1" applyFont="1" applyFill="1" applyBorder="1" applyAlignment="1">
      <alignment horizontal="center" vertical="center" wrapText="1"/>
    </xf>
    <xf numFmtId="164" fontId="32" fillId="24" borderId="10" xfId="0" applyNumberFormat="1" applyFont="1" applyFill="1" applyBorder="1" applyAlignment="1">
      <alignment horizontal="center" vertical="center" wrapText="1"/>
    </xf>
    <xf numFmtId="167" fontId="35" fillId="24" borderId="10" xfId="0" applyNumberFormat="1" applyFont="1" applyFill="1" applyBorder="1" applyAlignment="1">
      <alignment horizontal="center"/>
    </xf>
    <xf numFmtId="0" fontId="32" fillId="24" borderId="10" xfId="0" applyNumberFormat="1" applyFont="1" applyFill="1" applyBorder="1" applyAlignment="1">
      <alignment horizontal="center" vertical="center" wrapText="1"/>
    </xf>
    <xf numFmtId="0" fontId="0" fillId="24" borderId="10" xfId="0" applyFont="1" applyFill="1" applyBorder="1" applyAlignment="1">
      <alignment horizontal="center"/>
    </xf>
    <xf numFmtId="0" fontId="1" fillId="24" borderId="10" xfId="0" applyFont="1" applyFill="1" applyBorder="1"/>
    <xf numFmtId="0" fontId="2" fillId="24" borderId="0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vertical="center" wrapText="1"/>
    </xf>
    <xf numFmtId="1" fontId="27" fillId="24" borderId="0" xfId="0" applyNumberFormat="1" applyFont="1" applyFill="1" applyBorder="1" applyAlignment="1">
      <alignment vertical="top"/>
    </xf>
    <xf numFmtId="0" fontId="1" fillId="24" borderId="11" xfId="0" applyFont="1" applyFill="1" applyBorder="1" applyAlignment="1">
      <alignment horizontal="center"/>
    </xf>
    <xf numFmtId="0" fontId="1" fillId="24" borderId="10" xfId="0" applyFont="1" applyFill="1" applyBorder="1" applyAlignment="1">
      <alignment vertical="center" wrapText="1"/>
    </xf>
    <xf numFmtId="0" fontId="34" fillId="24" borderId="10" xfId="0" applyFont="1" applyFill="1" applyBorder="1" applyAlignment="1">
      <alignment horizontal="left" vertical="center" wrapText="1"/>
    </xf>
    <xf numFmtId="0" fontId="1" fillId="24" borderId="12" xfId="0" applyFont="1" applyFill="1" applyBorder="1" applyAlignment="1">
      <alignment horizontal="center"/>
    </xf>
    <xf numFmtId="4" fontId="1" fillId="24" borderId="10" xfId="0" applyNumberFormat="1" applyFont="1" applyFill="1" applyBorder="1" applyAlignment="1">
      <alignment horizontal="center"/>
    </xf>
    <xf numFmtId="4" fontId="1" fillId="24" borderId="10" xfId="0" applyNumberFormat="1" applyFont="1" applyFill="1" applyBorder="1" applyAlignment="1">
      <alignment horizontal="center" vertical="center" wrapText="1"/>
    </xf>
    <xf numFmtId="4" fontId="1" fillId="24" borderId="10" xfId="0" applyNumberFormat="1" applyFont="1" applyFill="1" applyBorder="1" applyAlignment="1">
      <alignment horizontal="center" vertical="center"/>
    </xf>
    <xf numFmtId="4" fontId="1" fillId="24" borderId="11" xfId="0" applyNumberFormat="1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justify"/>
    </xf>
    <xf numFmtId="0" fontId="29" fillId="24" borderId="10" xfId="0" applyFont="1" applyFill="1" applyBorder="1" applyAlignment="1">
      <alignment horizontal="center"/>
    </xf>
    <xf numFmtId="4" fontId="22" fillId="24" borderId="10" xfId="0" applyNumberFormat="1" applyFont="1" applyFill="1" applyBorder="1" applyAlignment="1">
      <alignment horizontal="center" vertical="center" wrapText="1"/>
    </xf>
    <xf numFmtId="2" fontId="1" fillId="24" borderId="10" xfId="0" applyNumberFormat="1" applyFont="1" applyFill="1" applyBorder="1" applyAlignment="1">
      <alignment horizontal="center" vertical="center" wrapText="1"/>
    </xf>
    <xf numFmtId="0" fontId="2" fillId="24" borderId="0" xfId="0" applyFont="1" applyFill="1" applyAlignment="1">
      <alignment horizontal="center"/>
    </xf>
    <xf numFmtId="49" fontId="2" fillId="24" borderId="12" xfId="0" applyNumberFormat="1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0" fontId="2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/>
    </xf>
    <xf numFmtId="0" fontId="2" fillId="24" borderId="10" xfId="0" applyFont="1" applyFill="1" applyBorder="1" applyAlignment="1">
      <alignment horizontal="center" vertical="center" wrapText="1"/>
    </xf>
    <xf numFmtId="4" fontId="2" fillId="24" borderId="10" xfId="0" applyNumberFormat="1" applyFont="1" applyFill="1" applyBorder="1" applyAlignment="1">
      <alignment horizontal="center" vertical="center" wrapText="1"/>
    </xf>
    <xf numFmtId="4" fontId="2" fillId="24" borderId="11" xfId="0" applyNumberFormat="1" applyFont="1" applyFill="1" applyBorder="1" applyAlignment="1">
      <alignment horizontal="center" vertical="center" wrapText="1"/>
    </xf>
    <xf numFmtId="4" fontId="0" fillId="24" borderId="10" xfId="0" applyNumberFormat="1" applyFont="1" applyFill="1" applyBorder="1" applyAlignment="1">
      <alignment horizontal="center" vertical="center" wrapText="1"/>
    </xf>
    <xf numFmtId="4" fontId="1" fillId="24" borderId="0" xfId="0" applyNumberFormat="1" applyFont="1" applyFill="1"/>
    <xf numFmtId="4" fontId="0" fillId="24" borderId="10" xfId="0" applyNumberFormat="1" applyFont="1" applyFill="1" applyBorder="1" applyAlignment="1">
      <alignment horizontal="center" vertical="center"/>
    </xf>
    <xf numFmtId="4" fontId="32" fillId="24" borderId="10" xfId="0" applyNumberFormat="1" applyFont="1" applyFill="1" applyBorder="1" applyAlignment="1">
      <alignment horizontal="center" vertical="center" wrapText="1"/>
    </xf>
    <xf numFmtId="4" fontId="32" fillId="24" borderId="10" xfId="0" applyNumberFormat="1" applyFont="1" applyFill="1" applyBorder="1" applyAlignment="1">
      <alignment horizontal="center" vertical="center"/>
    </xf>
    <xf numFmtId="0" fontId="20" fillId="0" borderId="0" xfId="0" applyFont="1" applyFill="1"/>
    <xf numFmtId="3" fontId="20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/>
    <xf numFmtId="3" fontId="36" fillId="0" borderId="0" xfId="0" applyNumberFormat="1" applyFont="1" applyFill="1" applyBorder="1" applyAlignment="1"/>
    <xf numFmtId="0" fontId="38" fillId="0" borderId="0" xfId="74" applyFont="1" applyFill="1" applyBorder="1" applyAlignment="1"/>
    <xf numFmtId="3" fontId="20" fillId="0" borderId="0" xfId="0" applyNumberFormat="1" applyFont="1" applyFill="1" applyBorder="1" applyAlignment="1">
      <alignment horizontal="right"/>
    </xf>
    <xf numFmtId="3" fontId="38" fillId="0" borderId="0" xfId="0" applyNumberFormat="1" applyFont="1" applyFill="1" applyBorder="1" applyAlignment="1">
      <alignment horizontal="right"/>
    </xf>
    <xf numFmtId="169" fontId="20" fillId="0" borderId="0" xfId="0" applyNumberFormat="1" applyFont="1" applyFill="1" applyBorder="1" applyAlignment="1"/>
    <xf numFmtId="2" fontId="20" fillId="0" borderId="0" xfId="0" applyNumberFormat="1" applyFont="1" applyFill="1" applyBorder="1" applyAlignment="1"/>
    <xf numFmtId="0" fontId="39" fillId="0" borderId="0" xfId="0" applyFont="1" applyFill="1"/>
    <xf numFmtId="0" fontId="39" fillId="0" borderId="0" xfId="0" applyFont="1" applyFill="1" applyAlignment="1">
      <alignment horizontal="center"/>
    </xf>
    <xf numFmtId="0" fontId="39" fillId="0" borderId="0" xfId="0" applyFont="1"/>
    <xf numFmtId="0" fontId="37" fillId="0" borderId="0" xfId="0" applyFont="1" applyFill="1"/>
    <xf numFmtId="0" fontId="37" fillId="0" borderId="0" xfId="0" applyFont="1"/>
    <xf numFmtId="0" fontId="42" fillId="0" borderId="0" xfId="0" applyFont="1" applyFill="1"/>
    <xf numFmtId="0" fontId="42" fillId="0" borderId="0" xfId="0" applyFont="1"/>
    <xf numFmtId="0" fontId="1" fillId="0" borderId="0" xfId="77" applyFont="1" applyFill="1"/>
    <xf numFmtId="0" fontId="1" fillId="0" borderId="0" xfId="77" applyFont="1" applyFill="1" applyAlignment="1">
      <alignment horizontal="center"/>
    </xf>
    <xf numFmtId="2" fontId="33" fillId="0" borderId="0" xfId="77" applyNumberFormat="1" applyFont="1" applyFill="1"/>
    <xf numFmtId="166" fontId="33" fillId="0" borderId="0" xfId="77" applyNumberFormat="1" applyFont="1" applyFill="1"/>
    <xf numFmtId="0" fontId="2" fillId="0" borderId="0" xfId="77" applyFont="1" applyFill="1"/>
    <xf numFmtId="0" fontId="40" fillId="0" borderId="0" xfId="0" applyFont="1" applyFill="1" applyAlignment="1"/>
    <xf numFmtId="0" fontId="41" fillId="0" borderId="0" xfId="0" applyFont="1" applyFill="1" applyAlignment="1"/>
    <xf numFmtId="0" fontId="46" fillId="0" borderId="0" xfId="93" applyFont="1" applyAlignment="1"/>
    <xf numFmtId="0" fontId="1" fillId="24" borderId="0" xfId="0" applyFont="1" applyFill="1" applyAlignment="1">
      <alignment wrapText="1"/>
    </xf>
    <xf numFmtId="0" fontId="2" fillId="24" borderId="12" xfId="0" applyFont="1" applyFill="1" applyBorder="1" applyAlignment="1">
      <alignment horizontal="center" vertical="center"/>
    </xf>
    <xf numFmtId="0" fontId="2" fillId="24" borderId="10" xfId="0" applyFont="1" applyFill="1" applyBorder="1" applyAlignment="1">
      <alignment horizontal="center" vertical="center"/>
    </xf>
    <xf numFmtId="2" fontId="2" fillId="24" borderId="10" xfId="0" applyNumberFormat="1" applyFont="1" applyFill="1" applyBorder="1" applyAlignment="1">
      <alignment horizontal="center" vertical="center"/>
    </xf>
    <xf numFmtId="0" fontId="0" fillId="24" borderId="0" xfId="0" applyFill="1" applyAlignment="1">
      <alignment vertical="center"/>
    </xf>
    <xf numFmtId="0" fontId="24" fillId="24" borderId="0" xfId="0" applyFont="1" applyFill="1" applyAlignment="1"/>
    <xf numFmtId="0" fontId="23" fillId="0" borderId="0" xfId="0" applyFont="1" applyFill="1"/>
    <xf numFmtId="0" fontId="24" fillId="24" borderId="11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47" fillId="0" borderId="0" xfId="0" applyFont="1" applyFill="1"/>
    <xf numFmtId="0" fontId="48" fillId="24" borderId="10" xfId="0" applyFont="1" applyFill="1" applyBorder="1" applyAlignment="1">
      <alignment horizontal="left" vertical="center" wrapText="1"/>
    </xf>
    <xf numFmtId="0" fontId="48" fillId="24" borderId="10" xfId="0" applyFont="1" applyFill="1" applyBorder="1" applyAlignment="1">
      <alignment horizontal="left" vertical="top" wrapText="1" shrinkToFit="1"/>
    </xf>
    <xf numFmtId="0" fontId="48" fillId="24" borderId="10" xfId="74" applyFont="1" applyFill="1" applyBorder="1" applyAlignment="1">
      <alignment horizontal="left" vertical="top" wrapText="1"/>
    </xf>
    <xf numFmtId="0" fontId="48" fillId="24" borderId="10" xfId="0" applyFont="1" applyFill="1" applyBorder="1" applyAlignment="1">
      <alignment vertical="top" wrapText="1"/>
    </xf>
    <xf numFmtId="0" fontId="48" fillId="24" borderId="10" xfId="1" applyFont="1" applyFill="1" applyBorder="1" applyAlignment="1">
      <alignment horizontal="left" vertical="top" wrapText="1"/>
    </xf>
    <xf numFmtId="0" fontId="48" fillId="24" borderId="18" xfId="0" applyFont="1" applyFill="1" applyBorder="1" applyAlignment="1">
      <alignment horizontal="left" vertical="center" wrapText="1"/>
    </xf>
    <xf numFmtId="0" fontId="48" fillId="24" borderId="10" xfId="0" applyNumberFormat="1" applyFont="1" applyFill="1" applyBorder="1" applyAlignment="1">
      <alignment horizontal="left" wrapText="1"/>
    </xf>
    <xf numFmtId="0" fontId="29" fillId="24" borderId="10" xfId="0" applyFont="1" applyFill="1" applyBorder="1" applyAlignment="1">
      <alignment horizontal="center" vertical="center" wrapText="1"/>
    </xf>
    <xf numFmtId="0" fontId="48" fillId="24" borderId="10" xfId="0" applyFont="1" applyFill="1" applyBorder="1" applyAlignment="1">
      <alignment vertical="top" wrapText="1" shrinkToFit="1"/>
    </xf>
    <xf numFmtId="0" fontId="49" fillId="24" borderId="10" xfId="0" applyFont="1" applyFill="1" applyBorder="1" applyAlignment="1">
      <alignment horizontal="left" vertical="top" wrapText="1"/>
    </xf>
    <xf numFmtId="0" fontId="29" fillId="24" borderId="10" xfId="0" applyFont="1" applyFill="1" applyBorder="1" applyAlignment="1">
      <alignment horizontal="center" vertical="center"/>
    </xf>
    <xf numFmtId="0" fontId="49" fillId="24" borderId="10" xfId="0" applyFont="1" applyFill="1" applyBorder="1" applyAlignment="1">
      <alignment horizontal="left" vertical="center" wrapText="1"/>
    </xf>
    <xf numFmtId="4" fontId="2" fillId="24" borderId="10" xfId="0" applyNumberFormat="1" applyFont="1" applyFill="1" applyBorder="1" applyAlignment="1">
      <alignment horizontal="center" vertical="center"/>
    </xf>
    <xf numFmtId="4" fontId="2" fillId="24" borderId="11" xfId="0" applyNumberFormat="1" applyFont="1" applyFill="1" applyBorder="1" applyAlignment="1">
      <alignment horizontal="center" vertical="center"/>
    </xf>
    <xf numFmtId="4" fontId="1" fillId="24" borderId="11" xfId="0" applyNumberFormat="1" applyFont="1" applyFill="1" applyBorder="1" applyAlignment="1">
      <alignment horizontal="center" vertical="center"/>
    </xf>
    <xf numFmtId="4" fontId="29" fillId="24" borderId="10" xfId="0" applyNumberFormat="1" applyFont="1" applyFill="1" applyBorder="1" applyAlignment="1">
      <alignment horizontal="center" vertical="center"/>
    </xf>
    <xf numFmtId="4" fontId="29" fillId="24" borderId="11" xfId="0" applyNumberFormat="1" applyFont="1" applyFill="1" applyBorder="1" applyAlignment="1">
      <alignment horizontal="center" vertical="center"/>
    </xf>
    <xf numFmtId="2" fontId="1" fillId="24" borderId="10" xfId="0" applyNumberFormat="1" applyFont="1" applyFill="1" applyBorder="1" applyAlignment="1">
      <alignment horizontal="center" vertical="center"/>
    </xf>
    <xf numFmtId="0" fontId="23" fillId="24" borderId="0" xfId="0" applyFont="1" applyFill="1" applyAlignment="1"/>
    <xf numFmtId="0" fontId="1" fillId="24" borderId="12" xfId="0" applyFont="1" applyFill="1" applyBorder="1" applyAlignment="1">
      <alignment horizontal="center" vertical="center"/>
    </xf>
    <xf numFmtId="0" fontId="1" fillId="24" borderId="10" xfId="0" applyNumberFormat="1" applyFont="1" applyFill="1" applyBorder="1" applyAlignment="1">
      <alignment horizontal="left" vertical="center" wrapText="1"/>
    </xf>
    <xf numFmtId="0" fontId="0" fillId="24" borderId="10" xfId="0" applyNumberFormat="1" applyFont="1" applyFill="1" applyBorder="1" applyAlignment="1">
      <alignment horizontal="left" vertical="center" wrapText="1"/>
    </xf>
    <xf numFmtId="0" fontId="0" fillId="24" borderId="12" xfId="0" applyNumberFormat="1" applyFont="1" applyFill="1" applyBorder="1" applyAlignment="1">
      <alignment horizontal="right" vertical="center" wrapText="1"/>
    </xf>
    <xf numFmtId="0" fontId="0" fillId="24" borderId="10" xfId="0" applyNumberFormat="1" applyFill="1" applyBorder="1" applyAlignment="1">
      <alignment horizontal="left" vertical="center" wrapText="1"/>
    </xf>
    <xf numFmtId="0" fontId="0" fillId="24" borderId="12" xfId="0" applyFill="1" applyBorder="1" applyAlignment="1">
      <alignment vertical="center"/>
    </xf>
    <xf numFmtId="0" fontId="23" fillId="24" borderId="10" xfId="0" applyFont="1" applyFill="1" applyBorder="1" applyAlignment="1">
      <alignment horizontal="center" vertical="center" wrapText="1"/>
    </xf>
    <xf numFmtId="170" fontId="1" fillId="0" borderId="10" xfId="76" applyNumberFormat="1" applyFont="1" applyFill="1" applyBorder="1" applyAlignment="1">
      <alignment horizontal="right" vertical="center"/>
    </xf>
    <xf numFmtId="170" fontId="1" fillId="0" borderId="11" xfId="73" applyNumberFormat="1" applyFont="1" applyFill="1" applyBorder="1" applyAlignment="1">
      <alignment horizontal="right" vertical="center"/>
    </xf>
    <xf numFmtId="170" fontId="1" fillId="0" borderId="11" xfId="76" applyNumberFormat="1" applyFont="1" applyFill="1" applyBorder="1" applyAlignment="1">
      <alignment horizontal="right" vertical="center"/>
    </xf>
    <xf numFmtId="170" fontId="2" fillId="0" borderId="10" xfId="73" applyNumberFormat="1" applyFont="1" applyFill="1" applyBorder="1" applyAlignment="1">
      <alignment horizontal="right" vertical="center"/>
    </xf>
    <xf numFmtId="170" fontId="2" fillId="0" borderId="11" xfId="73" applyNumberFormat="1" applyFont="1" applyFill="1" applyBorder="1" applyAlignment="1">
      <alignment horizontal="right" vertical="center"/>
    </xf>
    <xf numFmtId="170" fontId="1" fillId="0" borderId="13" xfId="76" applyNumberFormat="1" applyFont="1" applyFill="1" applyBorder="1" applyAlignment="1">
      <alignment horizontal="right" vertical="center"/>
    </xf>
    <xf numFmtId="170" fontId="1" fillId="0" borderId="14" xfId="73" applyNumberFormat="1" applyFont="1" applyFill="1" applyBorder="1" applyAlignment="1">
      <alignment horizontal="right" vertical="center"/>
    </xf>
    <xf numFmtId="0" fontId="2" fillId="24" borderId="10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top"/>
    </xf>
    <xf numFmtId="0" fontId="43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49" fontId="24" fillId="24" borderId="19" xfId="0" applyNumberFormat="1" applyFont="1" applyFill="1" applyBorder="1" applyAlignment="1">
      <alignment horizontal="center" vertical="center" wrapText="1"/>
    </xf>
    <xf numFmtId="49" fontId="24" fillId="24" borderId="12" xfId="0" applyNumberFormat="1" applyFont="1" applyFill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/>
    </xf>
    <xf numFmtId="0" fontId="46" fillId="0" borderId="0" xfId="93" applyFont="1" applyAlignment="1">
      <alignment horizontal="center"/>
    </xf>
    <xf numFmtId="0" fontId="24" fillId="24" borderId="10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 wrapText="1"/>
    </xf>
    <xf numFmtId="0" fontId="24" fillId="24" borderId="22" xfId="0" applyFont="1" applyFill="1" applyBorder="1" applyAlignment="1">
      <alignment horizontal="center" vertical="center" wrapText="1"/>
    </xf>
    <xf numFmtId="0" fontId="24" fillId="24" borderId="21" xfId="0" applyFont="1" applyFill="1" applyBorder="1" applyAlignment="1">
      <alignment horizontal="center" vertical="center" wrapText="1"/>
    </xf>
    <xf numFmtId="0" fontId="24" fillId="24" borderId="19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20" xfId="0" applyFont="1" applyFill="1" applyBorder="1" applyAlignment="1">
      <alignment horizontal="center" vertical="center"/>
    </xf>
    <xf numFmtId="0" fontId="50" fillId="0" borderId="0" xfId="94" applyFont="1" applyFill="1" applyAlignment="1">
      <alignment horizontal="center" vertical="center" wrapText="1"/>
    </xf>
    <xf numFmtId="0" fontId="2" fillId="0" borderId="0" xfId="76" applyFont="1" applyFill="1" applyBorder="1" applyAlignment="1">
      <alignment horizontal="left"/>
    </xf>
    <xf numFmtId="0" fontId="1" fillId="24" borderId="10" xfId="0" applyFont="1" applyFill="1" applyBorder="1" applyAlignment="1">
      <alignment horizontal="left" vertical="center" wrapText="1" shrinkToFit="1"/>
    </xf>
    <xf numFmtId="0" fontId="1" fillId="24" borderId="10" xfId="74" applyFont="1" applyFill="1" applyBorder="1" applyAlignment="1">
      <alignment horizontal="left" vertical="center" wrapText="1"/>
    </xf>
    <xf numFmtId="0" fontId="1" fillId="24" borderId="10" xfId="1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vertical="center" wrapText="1" shrinkToFit="1"/>
    </xf>
    <xf numFmtId="0" fontId="32" fillId="24" borderId="10" xfId="0" applyFont="1" applyFill="1" applyBorder="1" applyAlignment="1">
      <alignment horizontal="left" vertical="center" wrapText="1"/>
    </xf>
  </cellXfs>
  <cellStyles count="95">
    <cellStyle name="20% - Акцент1" xfId="2" builtinId="30" customBuiltin="1"/>
    <cellStyle name="20% - Акцент1 2" xfId="3"/>
    <cellStyle name="20% - Акцент2" xfId="4" builtinId="34" customBuiltin="1"/>
    <cellStyle name="20% - Акцент2 2" xfId="5"/>
    <cellStyle name="20% - Акцент3" xfId="6" builtinId="38" customBuiltin="1"/>
    <cellStyle name="20% - Акцент3 2" xfId="7"/>
    <cellStyle name="20% - Акцент4" xfId="8" builtinId="42" customBuiltin="1"/>
    <cellStyle name="20% - Акцент4 2" xfId="9"/>
    <cellStyle name="20% - Акцент5" xfId="10" builtinId="46" customBuiltin="1"/>
    <cellStyle name="20% - Акцент5 2" xfId="11"/>
    <cellStyle name="20% - Акцент6" xfId="12" builtinId="50" customBuiltin="1"/>
    <cellStyle name="20% - Акцент6 2" xfId="13"/>
    <cellStyle name="40% - Акцент1" xfId="14" builtinId="31" customBuiltin="1"/>
    <cellStyle name="40% - Акцент1 2" xfId="15"/>
    <cellStyle name="40% - Акцент2" xfId="16" builtinId="35" customBuiltin="1"/>
    <cellStyle name="40% - Акцент2 2" xfId="17"/>
    <cellStyle name="40% - Акцент3" xfId="18" builtinId="39" customBuiltin="1"/>
    <cellStyle name="40% - Акцент3 2" xfId="19"/>
    <cellStyle name="40% - Акцент4" xfId="20" builtinId="43" customBuiltin="1"/>
    <cellStyle name="40% - Акцент4 2" xfId="21"/>
    <cellStyle name="40% - Акцент5" xfId="22" builtinId="47" customBuiltin="1"/>
    <cellStyle name="40% - Акцент5 2" xfId="23"/>
    <cellStyle name="40% - Акцент6" xfId="24" builtinId="51" customBuiltin="1"/>
    <cellStyle name="40% - Акцент6 2" xfId="25"/>
    <cellStyle name="60% - Акцент1" xfId="26" builtinId="32" customBuiltin="1"/>
    <cellStyle name="60% - Акцент1 2" xfId="27"/>
    <cellStyle name="60% - Акцент2" xfId="28" builtinId="36" customBuiltin="1"/>
    <cellStyle name="60% - Акцент2 2" xfId="29"/>
    <cellStyle name="60% - Акцент3" xfId="30" builtinId="40" customBuiltin="1"/>
    <cellStyle name="60% - Акцент3 2" xfId="31"/>
    <cellStyle name="60% - Акцент4" xfId="32" builtinId="44" customBuiltin="1"/>
    <cellStyle name="60% - Акцент4 2" xfId="33"/>
    <cellStyle name="60% - Акцент5" xfId="34" builtinId="48" customBuiltin="1"/>
    <cellStyle name="60% - Акцент5 2" xfId="35"/>
    <cellStyle name="60% - Акцент6" xfId="36" builtinId="52" customBuiltin="1"/>
    <cellStyle name="60% - Акцент6 2" xfId="37"/>
    <cellStyle name="CALC Amount" xfId="38"/>
    <cellStyle name="Акцент1" xfId="39" builtinId="29" customBuiltin="1"/>
    <cellStyle name="Акцент1 2" xfId="40"/>
    <cellStyle name="Акцент2" xfId="41" builtinId="33" customBuiltin="1"/>
    <cellStyle name="Акцент2 2" xfId="42"/>
    <cellStyle name="Акцент3" xfId="43" builtinId="37" customBuiltin="1"/>
    <cellStyle name="Акцент3 2" xfId="44"/>
    <cellStyle name="Акцент4" xfId="45" builtinId="41" customBuiltin="1"/>
    <cellStyle name="Акцент4 2" xfId="46"/>
    <cellStyle name="Акцент5" xfId="47" builtinId="45" customBuiltin="1"/>
    <cellStyle name="Акцент5 2" xfId="48"/>
    <cellStyle name="Акцент6" xfId="49" builtinId="49" customBuiltin="1"/>
    <cellStyle name="Акцент6 2" xfId="50"/>
    <cellStyle name="Ввод " xfId="51" builtinId="20" customBuiltin="1"/>
    <cellStyle name="Ввод  2" xfId="52"/>
    <cellStyle name="Вывод" xfId="53" builtinId="21" customBuiltin="1"/>
    <cellStyle name="Вывод 2" xfId="54"/>
    <cellStyle name="Вычисление" xfId="55" builtinId="22" customBuiltin="1"/>
    <cellStyle name="Вычисление 2" xfId="56"/>
    <cellStyle name="Заголовок 1" xfId="57" builtinId="16" customBuiltin="1"/>
    <cellStyle name="Заголовок 1 2" xfId="58"/>
    <cellStyle name="Заголовок 2" xfId="59" builtinId="17" customBuiltin="1"/>
    <cellStyle name="Заголовок 2 2" xfId="60"/>
    <cellStyle name="Заголовок 3" xfId="61" builtinId="18" customBuiltin="1"/>
    <cellStyle name="Заголовок 3 2" xfId="62"/>
    <cellStyle name="Заголовок 4" xfId="63" builtinId="19" customBuiltin="1"/>
    <cellStyle name="Заголовок 4 2" xfId="64"/>
    <cellStyle name="Итог" xfId="65" builtinId="25" customBuiltin="1"/>
    <cellStyle name="Итог 2" xfId="66"/>
    <cellStyle name="Контрольная ячейка" xfId="67" builtinId="23" customBuiltin="1"/>
    <cellStyle name="Контрольная ячейка 2" xfId="68"/>
    <cellStyle name="Название" xfId="69" builtinId="15" customBuiltin="1"/>
    <cellStyle name="Название 2" xfId="70"/>
    <cellStyle name="Нейтральный" xfId="71" builtinId="28" customBuiltin="1"/>
    <cellStyle name="Нейтральный 2" xfId="72"/>
    <cellStyle name="Обычный" xfId="0" builtinId="0"/>
    <cellStyle name="Обычный 12 2" xfId="94"/>
    <cellStyle name="Обычный 13" xfId="73"/>
    <cellStyle name="Обычный 2" xfId="74"/>
    <cellStyle name="Обычный 2 2 3" xfId="75"/>
    <cellStyle name="Обычный 3" xfId="76"/>
    <cellStyle name="Обычный 4" xfId="77"/>
    <cellStyle name="Обычный 5" xfId="78"/>
    <cellStyle name="Обычный 5 2" xfId="79"/>
    <cellStyle name="Обычный 5 3" xfId="80"/>
    <cellStyle name="Обычный 6" xfId="93"/>
    <cellStyle name="Плохой" xfId="81" builtinId="27" customBuiltin="1"/>
    <cellStyle name="Плохой 2" xfId="82"/>
    <cellStyle name="Пояснение" xfId="83" builtinId="53" customBuiltin="1"/>
    <cellStyle name="Пояснение 2" xfId="84"/>
    <cellStyle name="Примечание" xfId="85" builtinId="10" customBuiltin="1"/>
    <cellStyle name="Примечание 2" xfId="86"/>
    <cellStyle name="Связанная ячейка" xfId="87" builtinId="24" customBuiltin="1"/>
    <cellStyle name="Связанная ячейка 2" xfId="88"/>
    <cellStyle name="Текст предупреждения" xfId="89" builtinId="11" customBuiltin="1"/>
    <cellStyle name="Текст предупреждения 2" xfId="90"/>
    <cellStyle name="УровеньСтолб_1" xfId="1" builtinId="2" iLevel="0"/>
    <cellStyle name="Хороший" xfId="91" builtinId="26" customBuiltin="1"/>
    <cellStyle name="Хороший 2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AJ251"/>
  <sheetViews>
    <sheetView tabSelected="1" view="pageBreakPreview" topLeftCell="A76" zoomScale="55" zoomScaleNormal="70" zoomScaleSheetLayoutView="55" workbookViewId="0">
      <pane xSplit="2" topLeftCell="C1" activePane="topRight" state="frozen"/>
      <selection activeCell="B232" sqref="B232"/>
      <selection pane="topRight" activeCell="B86" sqref="B86"/>
    </sheetView>
  </sheetViews>
  <sheetFormatPr defaultRowHeight="15.75"/>
  <cols>
    <col min="1" max="1" width="12" style="30" customWidth="1"/>
    <col min="2" max="2" width="36.875" style="4" bestFit="1" customWidth="1"/>
    <col min="3" max="3" width="12.25" style="33" customWidth="1"/>
    <col min="4" max="4" width="18.875" style="4" customWidth="1"/>
    <col min="5" max="5" width="15.875" style="33" customWidth="1"/>
    <col min="6" max="6" width="16.375" style="33" customWidth="1"/>
    <col min="7" max="9" width="16.75" style="4" customWidth="1"/>
    <col min="10" max="15" width="19.875" style="4" customWidth="1"/>
    <col min="16" max="20" width="11.25" style="4" customWidth="1"/>
    <col min="21" max="21" width="12.375" style="4" customWidth="1"/>
    <col min="22" max="22" width="11.5" style="4" bestFit="1" customWidth="1"/>
    <col min="23" max="23" width="9" style="4"/>
    <col min="24" max="24" width="36.875" style="4" bestFit="1" customWidth="1"/>
    <col min="25" max="16384" width="9" style="4"/>
  </cols>
  <sheetData>
    <row r="1" spans="1:36" s="81" customFormat="1" ht="35.25" customHeight="1">
      <c r="B1" s="82"/>
      <c r="C1" s="83"/>
      <c r="D1" s="83"/>
      <c r="E1" s="83"/>
      <c r="F1" s="84"/>
      <c r="G1" s="84"/>
      <c r="H1" s="84"/>
      <c r="I1" s="84"/>
      <c r="J1" s="84"/>
      <c r="K1" s="84"/>
      <c r="L1" s="84"/>
      <c r="O1" s="150" t="s">
        <v>730</v>
      </c>
      <c r="P1" s="150"/>
      <c r="Q1" s="150"/>
      <c r="R1" s="150"/>
      <c r="S1" s="150"/>
      <c r="T1" s="150"/>
      <c r="U1" s="150"/>
      <c r="X1" s="82"/>
      <c r="AJ1" s="83"/>
    </row>
    <row r="2" spans="1:36" s="81" customFormat="1" ht="35.25" customHeight="1">
      <c r="B2" s="82"/>
      <c r="C2" s="85"/>
      <c r="D2" s="86"/>
      <c r="E2" s="86"/>
      <c r="F2" s="86"/>
      <c r="G2" s="83"/>
      <c r="H2" s="87"/>
      <c r="I2" s="88"/>
      <c r="J2" s="89"/>
      <c r="K2" s="88"/>
      <c r="L2" s="83"/>
      <c r="O2" s="150" t="s">
        <v>58</v>
      </c>
      <c r="P2" s="150"/>
      <c r="Q2" s="150"/>
      <c r="R2" s="150"/>
      <c r="S2" s="150"/>
      <c r="T2" s="150"/>
      <c r="U2" s="150"/>
      <c r="X2" s="82"/>
      <c r="AJ2" s="85"/>
    </row>
    <row r="3" spans="1:36" s="92" customFormat="1" ht="38.25" customHeight="1">
      <c r="A3" s="90"/>
      <c r="B3" s="91"/>
      <c r="C3" s="90"/>
      <c r="D3" s="90"/>
      <c r="E3" s="90"/>
      <c r="F3" s="90"/>
      <c r="G3" s="90"/>
      <c r="H3" s="90"/>
      <c r="I3" s="90"/>
      <c r="J3" s="90"/>
      <c r="K3" s="90"/>
      <c r="L3" s="90"/>
      <c r="O3" s="151" t="s">
        <v>760</v>
      </c>
      <c r="P3" s="151"/>
      <c r="Q3" s="151"/>
      <c r="R3" s="151"/>
      <c r="S3" s="151"/>
      <c r="T3" s="151"/>
      <c r="U3" s="151"/>
      <c r="X3" s="91"/>
      <c r="AG3" s="90"/>
      <c r="AJ3" s="90"/>
    </row>
    <row r="4" spans="1:36" s="94" customFormat="1" ht="53.25" customHeight="1">
      <c r="A4" s="152" t="s">
        <v>732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93"/>
    </row>
    <row r="5" spans="1:36" s="96" customFormat="1" ht="28.5" customHeight="1">
      <c r="A5" s="153" t="s">
        <v>731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95"/>
    </row>
    <row r="6" spans="1:36" s="101" customFormat="1" ht="16.5" thickBot="1">
      <c r="A6" s="97"/>
      <c r="B6" s="98"/>
      <c r="C6" s="97"/>
      <c r="D6" s="97"/>
      <c r="E6" s="99"/>
      <c r="F6" s="100"/>
      <c r="G6" s="99"/>
      <c r="H6" s="99"/>
      <c r="I6" s="100"/>
      <c r="J6" s="100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8"/>
      <c r="Y6" s="100"/>
      <c r="Z6" s="100"/>
      <c r="AA6" s="100"/>
      <c r="AB6" s="100"/>
      <c r="AC6" s="100"/>
      <c r="AD6" s="100"/>
    </row>
    <row r="7" spans="1:36" ht="21" customHeight="1">
      <c r="A7" s="154" t="s">
        <v>9</v>
      </c>
      <c r="B7" s="156" t="s">
        <v>22</v>
      </c>
      <c r="C7" s="156" t="s">
        <v>759</v>
      </c>
      <c r="D7" s="156" t="s">
        <v>36</v>
      </c>
      <c r="E7" s="156" t="s">
        <v>37</v>
      </c>
      <c r="F7" s="156" t="s">
        <v>38</v>
      </c>
      <c r="G7" s="156" t="s">
        <v>50</v>
      </c>
      <c r="H7" s="156" t="s">
        <v>55</v>
      </c>
      <c r="I7" s="156" t="s">
        <v>758</v>
      </c>
      <c r="J7" s="158" t="s">
        <v>25</v>
      </c>
      <c r="K7" s="158"/>
      <c r="L7" s="158"/>
      <c r="M7" s="158"/>
      <c r="N7" s="158"/>
      <c r="O7" s="158"/>
      <c r="P7" s="158" t="s">
        <v>60</v>
      </c>
      <c r="Q7" s="158"/>
      <c r="R7" s="158"/>
      <c r="S7" s="158"/>
      <c r="T7" s="158"/>
      <c r="U7" s="168"/>
      <c r="X7" s="1" t="s">
        <v>22</v>
      </c>
    </row>
    <row r="8" spans="1:36" ht="64.5" customHeight="1">
      <c r="A8" s="155"/>
      <c r="B8" s="157"/>
      <c r="C8" s="157"/>
      <c r="D8" s="157"/>
      <c r="E8" s="157"/>
      <c r="F8" s="157"/>
      <c r="G8" s="157"/>
      <c r="H8" s="157"/>
      <c r="I8" s="157"/>
      <c r="J8" s="113" t="s">
        <v>750</v>
      </c>
      <c r="K8" s="113" t="s">
        <v>751</v>
      </c>
      <c r="L8" s="113" t="s">
        <v>752</v>
      </c>
      <c r="M8" s="113" t="s">
        <v>753</v>
      </c>
      <c r="N8" s="113" t="s">
        <v>754</v>
      </c>
      <c r="O8" s="113" t="s">
        <v>26</v>
      </c>
      <c r="P8" s="113" t="s">
        <v>761</v>
      </c>
      <c r="Q8" s="113" t="s">
        <v>751</v>
      </c>
      <c r="R8" s="113" t="s">
        <v>752</v>
      </c>
      <c r="S8" s="113" t="s">
        <v>753</v>
      </c>
      <c r="T8" s="113" t="s">
        <v>754</v>
      </c>
      <c r="U8" s="112" t="s">
        <v>26</v>
      </c>
      <c r="X8" s="149"/>
    </row>
    <row r="9" spans="1:36" ht="37.5" customHeight="1">
      <c r="A9" s="155"/>
      <c r="B9" s="157"/>
      <c r="C9" s="141" t="s">
        <v>40</v>
      </c>
      <c r="D9" s="141" t="s">
        <v>755</v>
      </c>
      <c r="E9" s="157"/>
      <c r="F9" s="157"/>
      <c r="G9" s="34" t="s">
        <v>76</v>
      </c>
      <c r="H9" s="34" t="s">
        <v>76</v>
      </c>
      <c r="I9" s="34" t="s">
        <v>76</v>
      </c>
      <c r="J9" s="34" t="s">
        <v>749</v>
      </c>
      <c r="K9" s="34" t="s">
        <v>749</v>
      </c>
      <c r="L9" s="34" t="s">
        <v>749</v>
      </c>
      <c r="M9" s="34" t="s">
        <v>749</v>
      </c>
      <c r="N9" s="34" t="s">
        <v>749</v>
      </c>
      <c r="O9" s="34" t="s">
        <v>749</v>
      </c>
      <c r="P9" s="34" t="s">
        <v>748</v>
      </c>
      <c r="Q9" s="34" t="s">
        <v>748</v>
      </c>
      <c r="R9" s="34" t="s">
        <v>748</v>
      </c>
      <c r="S9" s="34" t="s">
        <v>748</v>
      </c>
      <c r="T9" s="34" t="s">
        <v>748</v>
      </c>
      <c r="U9" s="34" t="s">
        <v>748</v>
      </c>
      <c r="X9" s="149"/>
    </row>
    <row r="10" spans="1:36" ht="31.5">
      <c r="A10" s="66"/>
      <c r="B10" s="73" t="s">
        <v>23</v>
      </c>
      <c r="C10" s="34"/>
      <c r="D10" s="67"/>
      <c r="E10" s="67"/>
      <c r="F10" s="67"/>
      <c r="G10" s="74">
        <f>G11+G196</f>
        <v>45103.300619999995</v>
      </c>
      <c r="H10" s="74">
        <f>H11+H196</f>
        <v>38472.775999999998</v>
      </c>
      <c r="I10" s="74">
        <f>I11+I196</f>
        <v>3336.2649999999999</v>
      </c>
      <c r="J10" s="35" t="s">
        <v>681</v>
      </c>
      <c r="K10" s="35" t="s">
        <v>727</v>
      </c>
      <c r="L10" s="35" t="s">
        <v>728</v>
      </c>
      <c r="M10" s="67" t="s">
        <v>717</v>
      </c>
      <c r="N10" s="35" t="s">
        <v>682</v>
      </c>
      <c r="O10" s="35" t="s">
        <v>729</v>
      </c>
      <c r="P10" s="74">
        <f>P11+P196</f>
        <v>6449.9344400000009</v>
      </c>
      <c r="Q10" s="74">
        <f>Q11+Q196</f>
        <v>6707.9310000000023</v>
      </c>
      <c r="R10" s="74">
        <f>R11+R196</f>
        <v>7012.5260000000007</v>
      </c>
      <c r="S10" s="74">
        <f>S11+S196</f>
        <v>7298.1989999999996</v>
      </c>
      <c r="T10" s="74">
        <f>T11+T196</f>
        <v>7560.0830000000005</v>
      </c>
      <c r="U10" s="75">
        <f>U11+U196</f>
        <v>35028.673439999999</v>
      </c>
      <c r="V10" s="36"/>
      <c r="X10" s="71" t="s">
        <v>23</v>
      </c>
    </row>
    <row r="11" spans="1:36" ht="31.5">
      <c r="A11" s="66">
        <v>1</v>
      </c>
      <c r="B11" s="73" t="s">
        <v>54</v>
      </c>
      <c r="C11" s="34"/>
      <c r="D11" s="67"/>
      <c r="E11" s="67"/>
      <c r="F11" s="67"/>
      <c r="G11" s="74">
        <f>G12+G145+G161+G180+G182</f>
        <v>25334.171559999999</v>
      </c>
      <c r="H11" s="74">
        <f>H12+H145+H161+H180+H182</f>
        <v>21743.374</v>
      </c>
      <c r="I11" s="74">
        <f>I12+I145+I161+I180+I182</f>
        <v>915.00299999999982</v>
      </c>
      <c r="J11" s="35" t="s">
        <v>620</v>
      </c>
      <c r="K11" s="35" t="s">
        <v>621</v>
      </c>
      <c r="L11" s="67" t="s">
        <v>622</v>
      </c>
      <c r="M11" s="67" t="s">
        <v>653</v>
      </c>
      <c r="N11" s="67" t="s">
        <v>654</v>
      </c>
      <c r="O11" s="67" t="s">
        <v>623</v>
      </c>
      <c r="P11" s="74">
        <f>P12+P145+P161+P180+P182</f>
        <v>3663.3430000000003</v>
      </c>
      <c r="Q11" s="74">
        <f>Q12+Q145+Q161+Q180+Q182</f>
        <v>4473.2050000000027</v>
      </c>
      <c r="R11" s="74">
        <f>R12+R145+R161+R180+R182</f>
        <v>3891.0880000000011</v>
      </c>
      <c r="S11" s="74">
        <f>S12+S145+S161+S180+S182</f>
        <v>4225.8980000000001</v>
      </c>
      <c r="T11" s="74">
        <f>T12+T145+T161+T180+T182</f>
        <v>4203.1360000000013</v>
      </c>
      <c r="U11" s="74">
        <f>U12+U145+U161+U180+U182</f>
        <v>20456.669999999998</v>
      </c>
      <c r="V11" s="36"/>
      <c r="X11" s="71" t="s">
        <v>54</v>
      </c>
    </row>
    <row r="12" spans="1:36" ht="31.5">
      <c r="A12" s="66" t="s">
        <v>1</v>
      </c>
      <c r="B12" s="73" t="s">
        <v>51</v>
      </c>
      <c r="C12" s="34"/>
      <c r="D12" s="67"/>
      <c r="E12" s="67"/>
      <c r="F12" s="67"/>
      <c r="G12" s="74">
        <f>SUM(G13:G143)</f>
        <v>23497.901559999998</v>
      </c>
      <c r="H12" s="74">
        <f>SUM(H13:H143)</f>
        <v>20004.075000000001</v>
      </c>
      <c r="I12" s="74">
        <f>SUM(I13:I143)</f>
        <v>819.21199999999988</v>
      </c>
      <c r="J12" s="35" t="s">
        <v>620</v>
      </c>
      <c r="K12" s="35" t="s">
        <v>621</v>
      </c>
      <c r="L12" s="67" t="s">
        <v>622</v>
      </c>
      <c r="M12" s="67" t="s">
        <v>653</v>
      </c>
      <c r="N12" s="67" t="s">
        <v>654</v>
      </c>
      <c r="O12" s="67" t="s">
        <v>623</v>
      </c>
      <c r="P12" s="74">
        <f t="shared" ref="P12:U12" si="0">SUM(P13:P143)</f>
        <v>3178.9530000000004</v>
      </c>
      <c r="Q12" s="74">
        <f t="shared" si="0"/>
        <v>3943.0900000000015</v>
      </c>
      <c r="R12" s="74">
        <f t="shared" si="0"/>
        <v>3627.4640000000009</v>
      </c>
      <c r="S12" s="74">
        <f t="shared" si="0"/>
        <v>4004.7660000000005</v>
      </c>
      <c r="T12" s="74">
        <f t="shared" si="0"/>
        <v>4062.6220000000003</v>
      </c>
      <c r="U12" s="75">
        <f t="shared" si="0"/>
        <v>18816.895</v>
      </c>
      <c r="V12" s="36"/>
      <c r="X12" s="71" t="s">
        <v>51</v>
      </c>
    </row>
    <row r="13" spans="1:36" ht="49.5">
      <c r="A13" s="37" t="s">
        <v>393</v>
      </c>
      <c r="B13" s="32" t="s">
        <v>86</v>
      </c>
      <c r="C13" s="34" t="s">
        <v>233</v>
      </c>
      <c r="D13" s="34"/>
      <c r="E13" s="34">
        <v>2014</v>
      </c>
      <c r="F13" s="34">
        <v>2016</v>
      </c>
      <c r="G13" s="58">
        <f>75*1.18</f>
        <v>88.5</v>
      </c>
      <c r="H13" s="58">
        <v>82.6</v>
      </c>
      <c r="I13" s="58">
        <f>5*1.18</f>
        <v>5.8999999999999995</v>
      </c>
      <c r="J13" s="35"/>
      <c r="K13" s="35"/>
      <c r="L13" s="35"/>
      <c r="M13" s="67"/>
      <c r="N13" s="35"/>
      <c r="O13" s="35"/>
      <c r="P13" s="58">
        <v>41.3</v>
      </c>
      <c r="Q13" s="58">
        <v>41.3</v>
      </c>
      <c r="R13" s="58"/>
      <c r="S13" s="58"/>
      <c r="T13" s="58"/>
      <c r="U13" s="60">
        <f>SUM(P13:T13)</f>
        <v>82.6</v>
      </c>
      <c r="V13" s="36"/>
      <c r="X13" s="116" t="s">
        <v>86</v>
      </c>
    </row>
    <row r="14" spans="1:36" ht="49.5">
      <c r="A14" s="37" t="s">
        <v>394</v>
      </c>
      <c r="B14" s="32" t="s">
        <v>87</v>
      </c>
      <c r="C14" s="34" t="s">
        <v>233</v>
      </c>
      <c r="D14" s="34"/>
      <c r="E14" s="34">
        <v>2015</v>
      </c>
      <c r="F14" s="34">
        <v>2015</v>
      </c>
      <c r="G14" s="58">
        <v>11.8</v>
      </c>
      <c r="H14" s="58">
        <v>11.8</v>
      </c>
      <c r="I14" s="58"/>
      <c r="J14" s="35"/>
      <c r="K14" s="35"/>
      <c r="L14" s="35"/>
      <c r="M14" s="67"/>
      <c r="N14" s="35"/>
      <c r="O14" s="35"/>
      <c r="P14" s="58">
        <v>11.8</v>
      </c>
      <c r="Q14" s="58"/>
      <c r="R14" s="58"/>
      <c r="S14" s="58"/>
      <c r="T14" s="58"/>
      <c r="U14" s="60">
        <f t="shared" ref="U14:U36" si="1">SUM(P14:T14)</f>
        <v>11.8</v>
      </c>
      <c r="V14" s="36"/>
      <c r="X14" s="116" t="s">
        <v>87</v>
      </c>
    </row>
    <row r="15" spans="1:36" ht="33">
      <c r="A15" s="37" t="s">
        <v>395</v>
      </c>
      <c r="B15" s="32" t="s">
        <v>88</v>
      </c>
      <c r="C15" s="34" t="s">
        <v>85</v>
      </c>
      <c r="D15" s="34"/>
      <c r="E15" s="34">
        <v>2014</v>
      </c>
      <c r="F15" s="34">
        <v>2019</v>
      </c>
      <c r="G15" s="58">
        <f>141.6+3.8*1.18</f>
        <v>146.084</v>
      </c>
      <c r="H15" s="58">
        <v>141.6</v>
      </c>
      <c r="I15" s="58">
        <f>3.8*1.18</f>
        <v>4.484</v>
      </c>
      <c r="J15" s="34"/>
      <c r="K15" s="34"/>
      <c r="L15" s="34"/>
      <c r="M15" s="34"/>
      <c r="N15" s="34"/>
      <c r="O15" s="34"/>
      <c r="P15" s="58">
        <v>11.8</v>
      </c>
      <c r="Q15" s="58">
        <v>53.1</v>
      </c>
      <c r="R15" s="58">
        <v>23.6</v>
      </c>
      <c r="S15" s="58">
        <v>17.7</v>
      </c>
      <c r="T15" s="58">
        <v>35.4</v>
      </c>
      <c r="U15" s="60">
        <f t="shared" si="1"/>
        <v>141.6</v>
      </c>
      <c r="V15" s="36"/>
      <c r="X15" s="116" t="s">
        <v>88</v>
      </c>
    </row>
    <row r="16" spans="1:36" ht="33">
      <c r="A16" s="37" t="s">
        <v>396</v>
      </c>
      <c r="B16" s="32" t="s">
        <v>90</v>
      </c>
      <c r="C16" s="34" t="s">
        <v>85</v>
      </c>
      <c r="D16" s="34"/>
      <c r="E16" s="34">
        <v>2015</v>
      </c>
      <c r="F16" s="34">
        <v>2019</v>
      </c>
      <c r="G16" s="58">
        <v>144.55000000000001</v>
      </c>
      <c r="H16" s="58">
        <v>144.55000000000001</v>
      </c>
      <c r="I16" s="58"/>
      <c r="J16" s="34"/>
      <c r="K16" s="34"/>
      <c r="L16" s="34"/>
      <c r="M16" s="34"/>
      <c r="N16" s="34"/>
      <c r="O16" s="34"/>
      <c r="P16" s="58">
        <v>27.73</v>
      </c>
      <c r="Q16" s="58">
        <v>28.32</v>
      </c>
      <c r="R16" s="58">
        <v>28.91</v>
      </c>
      <c r="S16" s="58">
        <v>29.5</v>
      </c>
      <c r="T16" s="58">
        <v>30.09</v>
      </c>
      <c r="U16" s="60">
        <f t="shared" si="1"/>
        <v>144.54999999999998</v>
      </c>
      <c r="V16" s="36"/>
      <c r="X16" s="116" t="s">
        <v>90</v>
      </c>
    </row>
    <row r="17" spans="1:24" ht="49.5">
      <c r="A17" s="37" t="s">
        <v>397</v>
      </c>
      <c r="B17" s="32" t="s">
        <v>91</v>
      </c>
      <c r="C17" s="34" t="s">
        <v>233</v>
      </c>
      <c r="D17" s="34"/>
      <c r="E17" s="34">
        <v>2014</v>
      </c>
      <c r="F17" s="34">
        <v>2015</v>
      </c>
      <c r="G17" s="58">
        <f>H17+I17</f>
        <v>23.718000000000004</v>
      </c>
      <c r="H17" s="58">
        <v>22.42</v>
      </c>
      <c r="I17" s="58">
        <v>1.298</v>
      </c>
      <c r="J17" s="34"/>
      <c r="K17" s="34"/>
      <c r="L17" s="34"/>
      <c r="M17" s="34"/>
      <c r="N17" s="34"/>
      <c r="O17" s="34"/>
      <c r="P17" s="58">
        <v>22.42</v>
      </c>
      <c r="Q17" s="58"/>
      <c r="R17" s="58"/>
      <c r="S17" s="58"/>
      <c r="T17" s="58"/>
      <c r="U17" s="60">
        <f t="shared" si="1"/>
        <v>22.42</v>
      </c>
      <c r="V17" s="36"/>
      <c r="X17" s="116" t="s">
        <v>91</v>
      </c>
    </row>
    <row r="18" spans="1:24" ht="82.5">
      <c r="A18" s="37" t="s">
        <v>398</v>
      </c>
      <c r="B18" s="32" t="s">
        <v>92</v>
      </c>
      <c r="C18" s="34" t="s">
        <v>85</v>
      </c>
      <c r="D18" s="34"/>
      <c r="E18" s="34">
        <v>2013</v>
      </c>
      <c r="F18" s="34">
        <v>2016</v>
      </c>
      <c r="G18" s="58">
        <f>244*1.18</f>
        <v>287.91999999999996</v>
      </c>
      <c r="H18" s="58">
        <f>240*1.18</f>
        <v>283.2</v>
      </c>
      <c r="I18" s="58">
        <f>3*1.18</f>
        <v>3.54</v>
      </c>
      <c r="J18" s="34"/>
      <c r="K18" s="34"/>
      <c r="L18" s="34"/>
      <c r="M18" s="34"/>
      <c r="N18" s="34"/>
      <c r="O18" s="34"/>
      <c r="P18" s="58">
        <v>141.6</v>
      </c>
      <c r="Q18" s="58">
        <v>141.6</v>
      </c>
      <c r="R18" s="58"/>
      <c r="S18" s="58"/>
      <c r="T18" s="58"/>
      <c r="U18" s="60">
        <f t="shared" si="1"/>
        <v>283.2</v>
      </c>
      <c r="V18" s="36"/>
      <c r="X18" s="116" t="s">
        <v>92</v>
      </c>
    </row>
    <row r="19" spans="1:24" ht="82.5">
      <c r="A19" s="37" t="s">
        <v>399</v>
      </c>
      <c r="B19" s="32" t="s">
        <v>93</v>
      </c>
      <c r="C19" s="34" t="s">
        <v>85</v>
      </c>
      <c r="D19" s="34"/>
      <c r="E19" s="34">
        <v>2013</v>
      </c>
      <c r="F19" s="34">
        <v>2016</v>
      </c>
      <c r="G19" s="58">
        <f>211*1.18</f>
        <v>248.98</v>
      </c>
      <c r="H19" s="58">
        <v>241.9</v>
      </c>
      <c r="I19" s="58"/>
      <c r="J19" s="34"/>
      <c r="K19" s="34"/>
      <c r="L19" s="34"/>
      <c r="M19" s="34"/>
      <c r="N19" s="34"/>
      <c r="O19" s="34"/>
      <c r="P19" s="58">
        <v>147.5</v>
      </c>
      <c r="Q19" s="58">
        <v>94.4</v>
      </c>
      <c r="R19" s="58"/>
      <c r="S19" s="58"/>
      <c r="T19" s="58"/>
      <c r="U19" s="60">
        <f t="shared" si="1"/>
        <v>241.9</v>
      </c>
      <c r="V19" s="36"/>
      <c r="X19" s="116" t="s">
        <v>93</v>
      </c>
    </row>
    <row r="20" spans="1:24" ht="33">
      <c r="A20" s="37" t="s">
        <v>400</v>
      </c>
      <c r="B20" s="32" t="s">
        <v>686</v>
      </c>
      <c r="C20" s="34" t="s">
        <v>233</v>
      </c>
      <c r="D20" s="34" t="s">
        <v>118</v>
      </c>
      <c r="E20" s="34">
        <v>2014</v>
      </c>
      <c r="F20" s="34">
        <v>2019</v>
      </c>
      <c r="G20" s="58">
        <f>H20+I20</f>
        <v>223.13300000000001</v>
      </c>
      <c r="H20" s="58">
        <f>209.214</f>
        <v>209.214</v>
      </c>
      <c r="I20" s="58">
        <f>6.402+5.747+1.77</f>
        <v>13.919</v>
      </c>
      <c r="J20" s="34"/>
      <c r="K20" s="34"/>
      <c r="L20" s="34" t="s">
        <v>134</v>
      </c>
      <c r="M20" s="34" t="s">
        <v>134</v>
      </c>
      <c r="N20" s="34" t="s">
        <v>139</v>
      </c>
      <c r="O20" s="34" t="s">
        <v>118</v>
      </c>
      <c r="P20" s="58">
        <f>23.6+3.54</f>
        <v>27.14</v>
      </c>
      <c r="Q20" s="58">
        <f>10.62+9.794+3.54</f>
        <v>23.954000000000001</v>
      </c>
      <c r="R20" s="58">
        <f>46.02+3.54</f>
        <v>49.56</v>
      </c>
      <c r="S20" s="58">
        <f>50.74+3.54</f>
        <v>54.28</v>
      </c>
      <c r="T20" s="58">
        <f>50.74+3.54</f>
        <v>54.28</v>
      </c>
      <c r="U20" s="60">
        <f t="shared" si="1"/>
        <v>209.214</v>
      </c>
      <c r="V20" s="36"/>
      <c r="X20" s="116" t="s">
        <v>686</v>
      </c>
    </row>
    <row r="21" spans="1:24" ht="33">
      <c r="A21" s="37" t="s">
        <v>401</v>
      </c>
      <c r="B21" s="32" t="s">
        <v>95</v>
      </c>
      <c r="C21" s="34" t="s">
        <v>233</v>
      </c>
      <c r="D21" s="34"/>
      <c r="E21" s="34">
        <v>2015</v>
      </c>
      <c r="F21" s="34">
        <v>2017</v>
      </c>
      <c r="G21" s="58">
        <f>25.99+37.76</f>
        <v>63.75</v>
      </c>
      <c r="H21" s="58">
        <v>37.76</v>
      </c>
      <c r="I21" s="58"/>
      <c r="J21" s="34"/>
      <c r="K21" s="34"/>
      <c r="L21" s="34"/>
      <c r="M21" s="34"/>
      <c r="N21" s="34"/>
      <c r="O21" s="34"/>
      <c r="P21" s="58">
        <v>2.36</v>
      </c>
      <c r="Q21" s="58">
        <v>17.7</v>
      </c>
      <c r="R21" s="58">
        <v>17.7</v>
      </c>
      <c r="S21" s="58"/>
      <c r="T21" s="58"/>
      <c r="U21" s="60">
        <f t="shared" si="1"/>
        <v>37.76</v>
      </c>
      <c r="V21" s="36"/>
      <c r="X21" s="116" t="s">
        <v>95</v>
      </c>
    </row>
    <row r="22" spans="1:24" ht="66">
      <c r="A22" s="37" t="s">
        <v>402</v>
      </c>
      <c r="B22" s="32" t="s">
        <v>96</v>
      </c>
      <c r="C22" s="34" t="s">
        <v>233</v>
      </c>
      <c r="D22" s="34"/>
      <c r="E22" s="34">
        <v>2015</v>
      </c>
      <c r="F22" s="34">
        <v>2019</v>
      </c>
      <c r="G22" s="58">
        <v>10.62</v>
      </c>
      <c r="H22" s="58">
        <v>10.62</v>
      </c>
      <c r="I22" s="58"/>
      <c r="J22" s="34"/>
      <c r="K22" s="34"/>
      <c r="L22" s="34"/>
      <c r="M22" s="34"/>
      <c r="N22" s="34"/>
      <c r="O22" s="34"/>
      <c r="P22" s="58">
        <v>1.18</v>
      </c>
      <c r="Q22" s="58">
        <v>2.36</v>
      </c>
      <c r="R22" s="58">
        <v>2.36</v>
      </c>
      <c r="S22" s="58">
        <v>2.36</v>
      </c>
      <c r="T22" s="58">
        <v>2.36</v>
      </c>
      <c r="U22" s="60">
        <f t="shared" si="1"/>
        <v>10.62</v>
      </c>
      <c r="V22" s="36"/>
      <c r="X22" s="116" t="s">
        <v>96</v>
      </c>
    </row>
    <row r="23" spans="1:24" ht="49.5">
      <c r="A23" s="37" t="s">
        <v>403</v>
      </c>
      <c r="B23" s="32" t="s">
        <v>97</v>
      </c>
      <c r="C23" s="34" t="s">
        <v>233</v>
      </c>
      <c r="D23" s="34"/>
      <c r="E23" s="34">
        <v>2015</v>
      </c>
      <c r="F23" s="34">
        <v>2017</v>
      </c>
      <c r="G23" s="58">
        <v>24.78</v>
      </c>
      <c r="H23" s="58">
        <v>24.78</v>
      </c>
      <c r="I23" s="58"/>
      <c r="J23" s="34"/>
      <c r="K23" s="34"/>
      <c r="L23" s="34"/>
      <c r="M23" s="34"/>
      <c r="N23" s="34"/>
      <c r="O23" s="34"/>
      <c r="P23" s="58">
        <v>1.18</v>
      </c>
      <c r="Q23" s="58">
        <v>11.8</v>
      </c>
      <c r="R23" s="58">
        <v>11.8</v>
      </c>
      <c r="S23" s="58"/>
      <c r="T23" s="58"/>
      <c r="U23" s="60">
        <f t="shared" si="1"/>
        <v>24.78</v>
      </c>
      <c r="V23" s="36"/>
      <c r="X23" s="116" t="s">
        <v>97</v>
      </c>
    </row>
    <row r="24" spans="1:24" ht="66">
      <c r="A24" s="37" t="s">
        <v>404</v>
      </c>
      <c r="B24" s="32" t="s">
        <v>685</v>
      </c>
      <c r="C24" s="34" t="s">
        <v>233</v>
      </c>
      <c r="D24" s="34"/>
      <c r="E24" s="34">
        <v>2015</v>
      </c>
      <c r="F24" s="34">
        <v>2019</v>
      </c>
      <c r="G24" s="58">
        <v>342.2</v>
      </c>
      <c r="H24" s="58">
        <v>342.2</v>
      </c>
      <c r="I24" s="58"/>
      <c r="J24" s="34"/>
      <c r="K24" s="34"/>
      <c r="L24" s="34"/>
      <c r="M24" s="34"/>
      <c r="N24" s="34"/>
      <c r="O24" s="34"/>
      <c r="P24" s="58">
        <v>35.4</v>
      </c>
      <c r="Q24" s="58">
        <v>59</v>
      </c>
      <c r="R24" s="58">
        <v>82.6</v>
      </c>
      <c r="S24" s="58">
        <v>82.6</v>
      </c>
      <c r="T24" s="58">
        <v>82.6</v>
      </c>
      <c r="U24" s="60">
        <f t="shared" si="1"/>
        <v>342.20000000000005</v>
      </c>
      <c r="V24" s="36"/>
      <c r="X24" s="116" t="s">
        <v>685</v>
      </c>
    </row>
    <row r="25" spans="1:24" ht="66">
      <c r="A25" s="37" t="s">
        <v>405</v>
      </c>
      <c r="B25" s="32" t="s">
        <v>107</v>
      </c>
      <c r="C25" s="34" t="s">
        <v>85</v>
      </c>
      <c r="D25" s="34"/>
      <c r="E25" s="34">
        <v>2016</v>
      </c>
      <c r="F25" s="34">
        <v>2016</v>
      </c>
      <c r="G25" s="58">
        <v>18.88</v>
      </c>
      <c r="H25" s="58">
        <v>18.88</v>
      </c>
      <c r="I25" s="58"/>
      <c r="J25" s="34"/>
      <c r="K25" s="34"/>
      <c r="L25" s="34"/>
      <c r="M25" s="34"/>
      <c r="N25" s="34"/>
      <c r="O25" s="34"/>
      <c r="P25" s="58"/>
      <c r="Q25" s="58">
        <v>18.88</v>
      </c>
      <c r="R25" s="58"/>
      <c r="S25" s="58"/>
      <c r="T25" s="58"/>
      <c r="U25" s="60">
        <f t="shared" si="1"/>
        <v>18.88</v>
      </c>
      <c r="V25" s="36"/>
      <c r="X25" s="116" t="s">
        <v>107</v>
      </c>
    </row>
    <row r="26" spans="1:24" ht="33">
      <c r="A26" s="37" t="s">
        <v>406</v>
      </c>
      <c r="B26" s="32" t="s">
        <v>110</v>
      </c>
      <c r="C26" s="34" t="s">
        <v>85</v>
      </c>
      <c r="D26" s="34"/>
      <c r="E26" s="34">
        <v>2016</v>
      </c>
      <c r="F26" s="34">
        <v>2016</v>
      </c>
      <c r="G26" s="58">
        <v>5.9</v>
      </c>
      <c r="H26" s="58">
        <v>5.9</v>
      </c>
      <c r="I26" s="58"/>
      <c r="J26" s="34"/>
      <c r="K26" s="34"/>
      <c r="L26" s="34"/>
      <c r="M26" s="34"/>
      <c r="N26" s="34"/>
      <c r="O26" s="34"/>
      <c r="P26" s="58"/>
      <c r="Q26" s="58">
        <v>5.9</v>
      </c>
      <c r="R26" s="58"/>
      <c r="S26" s="58"/>
      <c r="T26" s="58"/>
      <c r="U26" s="60">
        <f t="shared" si="1"/>
        <v>5.9</v>
      </c>
      <c r="V26" s="36"/>
      <c r="X26" s="116" t="s">
        <v>110</v>
      </c>
    </row>
    <row r="27" spans="1:24" ht="33">
      <c r="A27" s="37" t="s">
        <v>407</v>
      </c>
      <c r="B27" s="32" t="s">
        <v>111</v>
      </c>
      <c r="C27" s="34" t="s">
        <v>85</v>
      </c>
      <c r="D27" s="34"/>
      <c r="E27" s="34">
        <v>2016</v>
      </c>
      <c r="F27" s="34">
        <v>2016</v>
      </c>
      <c r="G27" s="58">
        <v>5.9</v>
      </c>
      <c r="H27" s="58">
        <v>5.9</v>
      </c>
      <c r="I27" s="58"/>
      <c r="J27" s="34"/>
      <c r="K27" s="34"/>
      <c r="L27" s="34"/>
      <c r="M27" s="34"/>
      <c r="N27" s="34"/>
      <c r="O27" s="34"/>
      <c r="P27" s="58"/>
      <c r="Q27" s="58">
        <v>5.9</v>
      </c>
      <c r="R27" s="58"/>
      <c r="S27" s="58"/>
      <c r="T27" s="58"/>
      <c r="U27" s="60">
        <f t="shared" si="1"/>
        <v>5.9</v>
      </c>
      <c r="V27" s="36"/>
      <c r="X27" s="116" t="s">
        <v>111</v>
      </c>
    </row>
    <row r="28" spans="1:24" ht="33">
      <c r="A28" s="37" t="s">
        <v>408</v>
      </c>
      <c r="B28" s="32" t="s">
        <v>117</v>
      </c>
      <c r="C28" s="34" t="s">
        <v>85</v>
      </c>
      <c r="D28" s="34" t="s">
        <v>118</v>
      </c>
      <c r="E28" s="34">
        <v>2017</v>
      </c>
      <c r="F28" s="34">
        <v>2017</v>
      </c>
      <c r="G28" s="58">
        <v>29.5</v>
      </c>
      <c r="H28" s="58">
        <v>29.5</v>
      </c>
      <c r="I28" s="58"/>
      <c r="J28" s="34"/>
      <c r="K28" s="34"/>
      <c r="L28" s="34" t="s">
        <v>118</v>
      </c>
      <c r="M28" s="34"/>
      <c r="N28" s="34"/>
      <c r="O28" s="34" t="s">
        <v>118</v>
      </c>
      <c r="P28" s="58"/>
      <c r="Q28" s="58"/>
      <c r="R28" s="58">
        <v>29.5</v>
      </c>
      <c r="S28" s="58"/>
      <c r="T28" s="58"/>
      <c r="U28" s="60">
        <f t="shared" si="1"/>
        <v>29.5</v>
      </c>
      <c r="V28" s="36"/>
      <c r="X28" s="116" t="s">
        <v>117</v>
      </c>
    </row>
    <row r="29" spans="1:24" ht="49.5">
      <c r="A29" s="37" t="s">
        <v>409</v>
      </c>
      <c r="B29" s="32" t="s">
        <v>120</v>
      </c>
      <c r="C29" s="34" t="s">
        <v>85</v>
      </c>
      <c r="D29" s="34"/>
      <c r="E29" s="34">
        <v>2017</v>
      </c>
      <c r="F29" s="34">
        <v>2019</v>
      </c>
      <c r="G29" s="58">
        <v>4.72</v>
      </c>
      <c r="H29" s="58">
        <v>4.72</v>
      </c>
      <c r="I29" s="58"/>
      <c r="J29" s="34"/>
      <c r="K29" s="34"/>
      <c r="L29" s="34"/>
      <c r="M29" s="34"/>
      <c r="N29" s="34"/>
      <c r="O29" s="34"/>
      <c r="P29" s="58"/>
      <c r="Q29" s="58"/>
      <c r="R29" s="58">
        <v>1.18</v>
      </c>
      <c r="S29" s="58">
        <v>2.36</v>
      </c>
      <c r="T29" s="58">
        <v>1.18</v>
      </c>
      <c r="U29" s="60">
        <f t="shared" si="1"/>
        <v>4.72</v>
      </c>
      <c r="V29" s="36"/>
      <c r="X29" s="116" t="s">
        <v>120</v>
      </c>
    </row>
    <row r="30" spans="1:24" ht="33">
      <c r="A30" s="37" t="s">
        <v>410</v>
      </c>
      <c r="B30" s="32" t="s">
        <v>121</v>
      </c>
      <c r="C30" s="34" t="s">
        <v>85</v>
      </c>
      <c r="D30" s="34"/>
      <c r="E30" s="34">
        <v>2017</v>
      </c>
      <c r="F30" s="34">
        <v>2019</v>
      </c>
      <c r="G30" s="58">
        <v>63.72</v>
      </c>
      <c r="H30" s="58">
        <v>63.72</v>
      </c>
      <c r="I30" s="58"/>
      <c r="J30" s="34"/>
      <c r="K30" s="34"/>
      <c r="L30" s="34"/>
      <c r="M30" s="34"/>
      <c r="N30" s="34"/>
      <c r="O30" s="34"/>
      <c r="P30" s="58"/>
      <c r="Q30" s="58"/>
      <c r="R30" s="58">
        <v>20.059999999999999</v>
      </c>
      <c r="S30" s="58">
        <v>21.24</v>
      </c>
      <c r="T30" s="58">
        <v>22.42</v>
      </c>
      <c r="U30" s="60">
        <f t="shared" si="1"/>
        <v>63.72</v>
      </c>
      <c r="V30" s="36"/>
      <c r="X30" s="116" t="s">
        <v>121</v>
      </c>
    </row>
    <row r="31" spans="1:24" ht="66">
      <c r="A31" s="37" t="s">
        <v>411</v>
      </c>
      <c r="B31" s="32" t="s">
        <v>122</v>
      </c>
      <c r="C31" s="34" t="s">
        <v>233</v>
      </c>
      <c r="D31" s="34" t="s">
        <v>596</v>
      </c>
      <c r="E31" s="34">
        <v>2017</v>
      </c>
      <c r="F31" s="34">
        <v>2019</v>
      </c>
      <c r="G31" s="58">
        <v>38.94</v>
      </c>
      <c r="H31" s="58">
        <v>38.94</v>
      </c>
      <c r="I31" s="58"/>
      <c r="J31" s="34"/>
      <c r="K31" s="34"/>
      <c r="L31" s="34"/>
      <c r="M31" s="34"/>
      <c r="N31" s="34" t="s">
        <v>596</v>
      </c>
      <c r="O31" s="34" t="s">
        <v>596</v>
      </c>
      <c r="P31" s="58"/>
      <c r="Q31" s="58"/>
      <c r="R31" s="58">
        <v>3.54</v>
      </c>
      <c r="S31" s="58">
        <v>17.7</v>
      </c>
      <c r="T31" s="58">
        <v>17.7</v>
      </c>
      <c r="U31" s="60">
        <f t="shared" si="1"/>
        <v>38.94</v>
      </c>
      <c r="V31" s="36"/>
      <c r="X31" s="116" t="s">
        <v>122</v>
      </c>
    </row>
    <row r="32" spans="1:24" ht="66">
      <c r="A32" s="37" t="s">
        <v>412</v>
      </c>
      <c r="B32" s="32" t="s">
        <v>126</v>
      </c>
      <c r="C32" s="34" t="s">
        <v>85</v>
      </c>
      <c r="D32" s="34"/>
      <c r="E32" s="34">
        <v>2018</v>
      </c>
      <c r="F32" s="34">
        <v>2018</v>
      </c>
      <c r="G32" s="58">
        <v>4.72</v>
      </c>
      <c r="H32" s="58">
        <v>4.72</v>
      </c>
      <c r="I32" s="58"/>
      <c r="J32" s="34"/>
      <c r="K32" s="34"/>
      <c r="L32" s="34"/>
      <c r="M32" s="34"/>
      <c r="N32" s="34"/>
      <c r="O32" s="34"/>
      <c r="P32" s="58"/>
      <c r="Q32" s="58"/>
      <c r="R32" s="58"/>
      <c r="S32" s="58">
        <v>4.72</v>
      </c>
      <c r="T32" s="58"/>
      <c r="U32" s="60">
        <f t="shared" si="1"/>
        <v>4.72</v>
      </c>
      <c r="V32" s="36"/>
      <c r="X32" s="116" t="s">
        <v>126</v>
      </c>
    </row>
    <row r="33" spans="1:24" ht="33">
      <c r="A33" s="37" t="s">
        <v>413</v>
      </c>
      <c r="B33" s="32" t="s">
        <v>127</v>
      </c>
      <c r="C33" s="34" t="s">
        <v>233</v>
      </c>
      <c r="D33" s="34"/>
      <c r="E33" s="34">
        <v>2018</v>
      </c>
      <c r="F33" s="34">
        <v>2019</v>
      </c>
      <c r="G33" s="58">
        <v>11.8</v>
      </c>
      <c r="H33" s="58">
        <v>11.8</v>
      </c>
      <c r="I33" s="58"/>
      <c r="J33" s="34"/>
      <c r="K33" s="34"/>
      <c r="L33" s="34"/>
      <c r="M33" s="34"/>
      <c r="N33" s="34"/>
      <c r="O33" s="34"/>
      <c r="P33" s="58"/>
      <c r="Q33" s="58"/>
      <c r="R33" s="58"/>
      <c r="S33" s="58">
        <v>2.36</v>
      </c>
      <c r="T33" s="58">
        <v>9.44</v>
      </c>
      <c r="U33" s="60">
        <f t="shared" si="1"/>
        <v>11.799999999999999</v>
      </c>
      <c r="V33" s="36"/>
      <c r="X33" s="116" t="s">
        <v>127</v>
      </c>
    </row>
    <row r="34" spans="1:24" ht="82.5">
      <c r="A34" s="37" t="s">
        <v>414</v>
      </c>
      <c r="B34" s="32" t="s">
        <v>128</v>
      </c>
      <c r="C34" s="34" t="s">
        <v>233</v>
      </c>
      <c r="D34" s="34"/>
      <c r="E34" s="34">
        <v>2018</v>
      </c>
      <c r="F34" s="34">
        <v>2019</v>
      </c>
      <c r="G34" s="58">
        <v>50.74</v>
      </c>
      <c r="H34" s="58">
        <v>50.74</v>
      </c>
      <c r="I34" s="58"/>
      <c r="J34" s="34"/>
      <c r="K34" s="34"/>
      <c r="L34" s="34"/>
      <c r="M34" s="34"/>
      <c r="N34" s="34"/>
      <c r="O34" s="34"/>
      <c r="P34" s="58"/>
      <c r="Q34" s="58"/>
      <c r="R34" s="58"/>
      <c r="S34" s="58">
        <v>3.54</v>
      </c>
      <c r="T34" s="58">
        <v>47.2</v>
      </c>
      <c r="U34" s="60">
        <f t="shared" si="1"/>
        <v>50.74</v>
      </c>
      <c r="V34" s="36"/>
      <c r="X34" s="116" t="s">
        <v>128</v>
      </c>
    </row>
    <row r="35" spans="1:24" ht="33">
      <c r="A35" s="37" t="s">
        <v>415</v>
      </c>
      <c r="B35" s="32" t="s">
        <v>129</v>
      </c>
      <c r="C35" s="34" t="s">
        <v>233</v>
      </c>
      <c r="D35" s="34" t="s">
        <v>134</v>
      </c>
      <c r="E35" s="34">
        <v>2018</v>
      </c>
      <c r="F35" s="34">
        <v>2019</v>
      </c>
      <c r="G35" s="58">
        <v>74.34</v>
      </c>
      <c r="H35" s="58">
        <v>74.34</v>
      </c>
      <c r="I35" s="58"/>
      <c r="J35" s="34"/>
      <c r="K35" s="34"/>
      <c r="L35" s="34"/>
      <c r="M35" s="34"/>
      <c r="N35" s="34" t="s">
        <v>134</v>
      </c>
      <c r="O35" s="34" t="s">
        <v>134</v>
      </c>
      <c r="P35" s="58"/>
      <c r="Q35" s="58"/>
      <c r="R35" s="58"/>
      <c r="S35" s="58">
        <v>3.54</v>
      </c>
      <c r="T35" s="58">
        <v>70.8</v>
      </c>
      <c r="U35" s="60">
        <f t="shared" si="1"/>
        <v>74.34</v>
      </c>
      <c r="V35" s="36"/>
      <c r="X35" s="116" t="s">
        <v>129</v>
      </c>
    </row>
    <row r="36" spans="1:24" ht="82.5">
      <c r="A36" s="37" t="s">
        <v>416</v>
      </c>
      <c r="B36" s="32" t="s">
        <v>132</v>
      </c>
      <c r="C36" s="34" t="s">
        <v>85</v>
      </c>
      <c r="D36" s="34"/>
      <c r="E36" s="34">
        <v>2019</v>
      </c>
      <c r="F36" s="34">
        <v>2019</v>
      </c>
      <c r="G36" s="58">
        <v>2.36</v>
      </c>
      <c r="H36" s="58">
        <v>2.36</v>
      </c>
      <c r="I36" s="58"/>
      <c r="J36" s="34"/>
      <c r="K36" s="34"/>
      <c r="L36" s="34"/>
      <c r="M36" s="34"/>
      <c r="N36" s="34"/>
      <c r="O36" s="34"/>
      <c r="P36" s="58"/>
      <c r="Q36" s="58"/>
      <c r="R36" s="58"/>
      <c r="S36" s="58"/>
      <c r="T36" s="58">
        <v>2.36</v>
      </c>
      <c r="U36" s="60">
        <f t="shared" si="1"/>
        <v>2.36</v>
      </c>
      <c r="V36" s="36"/>
      <c r="X36" s="116" t="s">
        <v>132</v>
      </c>
    </row>
    <row r="37" spans="1:24" ht="66">
      <c r="A37" s="37" t="s">
        <v>417</v>
      </c>
      <c r="B37" s="171" t="s">
        <v>142</v>
      </c>
      <c r="C37" s="34" t="s">
        <v>233</v>
      </c>
      <c r="D37" s="34" t="s">
        <v>143</v>
      </c>
      <c r="E37" s="34">
        <v>2015</v>
      </c>
      <c r="F37" s="34">
        <v>2015</v>
      </c>
      <c r="G37" s="58">
        <f>35*1.18</f>
        <v>41.3</v>
      </c>
      <c r="H37" s="58">
        <f>35*1.18</f>
        <v>41.3</v>
      </c>
      <c r="I37" s="58"/>
      <c r="J37" s="34" t="s">
        <v>143</v>
      </c>
      <c r="K37" s="34"/>
      <c r="L37" s="34"/>
      <c r="M37" s="34"/>
      <c r="N37" s="34"/>
      <c r="O37" s="34" t="s">
        <v>143</v>
      </c>
      <c r="P37" s="58">
        <f>35*1.18</f>
        <v>41.3</v>
      </c>
      <c r="Q37" s="58"/>
      <c r="R37" s="58"/>
      <c r="S37" s="58"/>
      <c r="T37" s="58"/>
      <c r="U37" s="60">
        <f t="shared" ref="U37:U65" si="2">SUM(P37:T37)</f>
        <v>41.3</v>
      </c>
      <c r="V37" s="36"/>
      <c r="X37" s="117" t="s">
        <v>142</v>
      </c>
    </row>
    <row r="38" spans="1:24" ht="33">
      <c r="A38" s="37" t="s">
        <v>418</v>
      </c>
      <c r="B38" s="171" t="s">
        <v>144</v>
      </c>
      <c r="C38" s="34" t="s">
        <v>233</v>
      </c>
      <c r="D38" s="34" t="s">
        <v>145</v>
      </c>
      <c r="E38" s="34">
        <v>2014</v>
      </c>
      <c r="F38" s="34">
        <v>2019</v>
      </c>
      <c r="G38" s="58">
        <f>120*1.18+5.9</f>
        <v>147.5</v>
      </c>
      <c r="H38" s="58">
        <f>120*1.18</f>
        <v>141.6</v>
      </c>
      <c r="I38" s="58">
        <v>5.9</v>
      </c>
      <c r="J38" s="34"/>
      <c r="K38" s="34"/>
      <c r="L38" s="34"/>
      <c r="M38" s="34"/>
      <c r="N38" s="34" t="s">
        <v>145</v>
      </c>
      <c r="O38" s="34" t="s">
        <v>145</v>
      </c>
      <c r="P38" s="58"/>
      <c r="Q38" s="58"/>
      <c r="R38" s="58">
        <f>10*1.18</f>
        <v>11.799999999999999</v>
      </c>
      <c r="S38" s="58">
        <f>50*1.18</f>
        <v>59</v>
      </c>
      <c r="T38" s="58">
        <f>60*1.18</f>
        <v>70.8</v>
      </c>
      <c r="U38" s="60">
        <f t="shared" si="2"/>
        <v>141.6</v>
      </c>
      <c r="V38" s="36"/>
      <c r="X38" s="117" t="s">
        <v>144</v>
      </c>
    </row>
    <row r="39" spans="1:24" ht="82.5">
      <c r="A39" s="37" t="s">
        <v>419</v>
      </c>
      <c r="B39" s="171" t="s">
        <v>146</v>
      </c>
      <c r="C39" s="34" t="s">
        <v>233</v>
      </c>
      <c r="D39" s="34" t="s">
        <v>147</v>
      </c>
      <c r="E39" s="34">
        <v>2017</v>
      </c>
      <c r="F39" s="34">
        <v>2019</v>
      </c>
      <c r="G39" s="58">
        <f>338*1.18</f>
        <v>398.84</v>
      </c>
      <c r="H39" s="58">
        <f>338*1.18</f>
        <v>398.84</v>
      </c>
      <c r="I39" s="58"/>
      <c r="J39" s="34"/>
      <c r="K39" s="34"/>
      <c r="L39" s="34"/>
      <c r="M39" s="34"/>
      <c r="N39" s="34" t="s">
        <v>147</v>
      </c>
      <c r="O39" s="34" t="s">
        <v>147</v>
      </c>
      <c r="P39" s="58"/>
      <c r="Q39" s="58"/>
      <c r="R39" s="58">
        <f>15*1.18</f>
        <v>17.7</v>
      </c>
      <c r="S39" s="58">
        <f>153*1.18</f>
        <v>180.54</v>
      </c>
      <c r="T39" s="58">
        <f>170*1.18</f>
        <v>200.6</v>
      </c>
      <c r="U39" s="60">
        <f t="shared" si="2"/>
        <v>398.84</v>
      </c>
      <c r="V39" s="36"/>
      <c r="X39" s="117" t="s">
        <v>146</v>
      </c>
    </row>
    <row r="40" spans="1:24" ht="49.5">
      <c r="A40" s="37" t="s">
        <v>420</v>
      </c>
      <c r="B40" s="171" t="s">
        <v>148</v>
      </c>
      <c r="C40" s="34" t="s">
        <v>233</v>
      </c>
      <c r="D40" s="34" t="s">
        <v>149</v>
      </c>
      <c r="E40" s="34">
        <v>2015</v>
      </c>
      <c r="F40" s="34">
        <v>2017</v>
      </c>
      <c r="G40" s="58">
        <f>145*1.18</f>
        <v>171.1</v>
      </c>
      <c r="H40" s="58">
        <f>145*1.18</f>
        <v>171.1</v>
      </c>
      <c r="I40" s="58"/>
      <c r="J40" s="34"/>
      <c r="K40" s="34" t="s">
        <v>150</v>
      </c>
      <c r="L40" s="34" t="s">
        <v>150</v>
      </c>
      <c r="M40" s="34"/>
      <c r="N40" s="34"/>
      <c r="O40" s="34" t="s">
        <v>149</v>
      </c>
      <c r="P40" s="58">
        <f>10*1.18</f>
        <v>11.799999999999999</v>
      </c>
      <c r="Q40" s="58">
        <f>65*1.18</f>
        <v>76.7</v>
      </c>
      <c r="R40" s="58">
        <f>70*1.18</f>
        <v>82.6</v>
      </c>
      <c r="S40" s="58"/>
      <c r="T40" s="58"/>
      <c r="U40" s="60">
        <f t="shared" si="2"/>
        <v>171.1</v>
      </c>
      <c r="V40" s="36"/>
      <c r="X40" s="117" t="s">
        <v>148</v>
      </c>
    </row>
    <row r="41" spans="1:24" ht="66">
      <c r="A41" s="37" t="s">
        <v>421</v>
      </c>
      <c r="B41" s="171" t="s">
        <v>151</v>
      </c>
      <c r="C41" s="34" t="s">
        <v>85</v>
      </c>
      <c r="D41" s="34"/>
      <c r="E41" s="34">
        <v>2015</v>
      </c>
      <c r="F41" s="34">
        <v>2016</v>
      </c>
      <c r="G41" s="58">
        <f>1.2*1.18</f>
        <v>1.4159999999999999</v>
      </c>
      <c r="H41" s="58">
        <f>1.2*1.18</f>
        <v>1.4159999999999999</v>
      </c>
      <c r="I41" s="58"/>
      <c r="J41" s="34"/>
      <c r="K41" s="34"/>
      <c r="L41" s="34"/>
      <c r="M41" s="34"/>
      <c r="N41" s="34"/>
      <c r="O41" s="34"/>
      <c r="P41" s="58">
        <f>0.6*1.18</f>
        <v>0.70799999999999996</v>
      </c>
      <c r="Q41" s="58">
        <f>0.6*1.18</f>
        <v>0.70799999999999996</v>
      </c>
      <c r="R41" s="58"/>
      <c r="S41" s="58"/>
      <c r="T41" s="58"/>
      <c r="U41" s="60">
        <f t="shared" si="2"/>
        <v>1.4159999999999999</v>
      </c>
      <c r="V41" s="36"/>
      <c r="X41" s="117" t="s">
        <v>151</v>
      </c>
    </row>
    <row r="42" spans="1:24" ht="49.5">
      <c r="A42" s="37" t="s">
        <v>422</v>
      </c>
      <c r="B42" s="171" t="s">
        <v>152</v>
      </c>
      <c r="C42" s="34" t="s">
        <v>85</v>
      </c>
      <c r="D42" s="34"/>
      <c r="E42" s="34">
        <v>2015</v>
      </c>
      <c r="F42" s="34">
        <v>2019</v>
      </c>
      <c r="G42" s="58">
        <f>2*1.18</f>
        <v>2.36</v>
      </c>
      <c r="H42" s="58">
        <f>2*1.18</f>
        <v>2.36</v>
      </c>
      <c r="I42" s="58"/>
      <c r="J42" s="34"/>
      <c r="K42" s="34"/>
      <c r="L42" s="34"/>
      <c r="M42" s="34"/>
      <c r="N42" s="34"/>
      <c r="O42" s="34"/>
      <c r="P42" s="58">
        <f>0.4*1.18</f>
        <v>0.47199999999999998</v>
      </c>
      <c r="Q42" s="58">
        <f>0.4*1.18</f>
        <v>0.47199999999999998</v>
      </c>
      <c r="R42" s="58">
        <f>0.4*1.18</f>
        <v>0.47199999999999998</v>
      </c>
      <c r="S42" s="58">
        <f>0.4*1.18</f>
        <v>0.47199999999999998</v>
      </c>
      <c r="T42" s="58">
        <f>0.4*1.18</f>
        <v>0.47199999999999998</v>
      </c>
      <c r="U42" s="60">
        <f t="shared" si="2"/>
        <v>2.36</v>
      </c>
      <c r="V42" s="36"/>
      <c r="X42" s="117" t="s">
        <v>152</v>
      </c>
    </row>
    <row r="43" spans="1:24" ht="82.5">
      <c r="A43" s="37" t="s">
        <v>423</v>
      </c>
      <c r="B43" s="172" t="s">
        <v>154</v>
      </c>
      <c r="C43" s="34" t="s">
        <v>155</v>
      </c>
      <c r="D43" s="34"/>
      <c r="E43" s="34">
        <v>2019</v>
      </c>
      <c r="F43" s="34">
        <v>2020</v>
      </c>
      <c r="G43" s="58">
        <f>2.5*1.18+20*1.18</f>
        <v>26.549999999999997</v>
      </c>
      <c r="H43" s="58">
        <f>2.5*1.18+20*1.18</f>
        <v>26.549999999999997</v>
      </c>
      <c r="I43" s="58"/>
      <c r="J43" s="34"/>
      <c r="K43" s="34"/>
      <c r="L43" s="34"/>
      <c r="M43" s="34"/>
      <c r="N43" s="34"/>
      <c r="O43" s="34"/>
      <c r="P43" s="58"/>
      <c r="Q43" s="58"/>
      <c r="R43" s="58"/>
      <c r="S43" s="58"/>
      <c r="T43" s="58">
        <f>2.5*1.18</f>
        <v>2.9499999999999997</v>
      </c>
      <c r="U43" s="60">
        <f t="shared" si="2"/>
        <v>2.9499999999999997</v>
      </c>
      <c r="V43" s="36"/>
      <c r="X43" s="118" t="s">
        <v>154</v>
      </c>
    </row>
    <row r="44" spans="1:24" ht="82.5">
      <c r="A44" s="37" t="s">
        <v>424</v>
      </c>
      <c r="B44" s="172" t="s">
        <v>156</v>
      </c>
      <c r="C44" s="34" t="s">
        <v>233</v>
      </c>
      <c r="D44" s="34"/>
      <c r="E44" s="34">
        <v>2017</v>
      </c>
      <c r="F44" s="34">
        <v>2018</v>
      </c>
      <c r="G44" s="58">
        <f>27.5*1.18</f>
        <v>32.449999999999996</v>
      </c>
      <c r="H44" s="58">
        <f>27.5*1.18</f>
        <v>32.449999999999996</v>
      </c>
      <c r="I44" s="58"/>
      <c r="J44" s="34"/>
      <c r="K44" s="34"/>
      <c r="L44" s="34"/>
      <c r="M44" s="34"/>
      <c r="N44" s="34"/>
      <c r="O44" s="34"/>
      <c r="P44" s="58"/>
      <c r="Q44" s="58"/>
      <c r="R44" s="58">
        <f>2.5*1.18</f>
        <v>2.9499999999999997</v>
      </c>
      <c r="S44" s="58">
        <f>25*1.18</f>
        <v>29.5</v>
      </c>
      <c r="T44" s="58"/>
      <c r="U44" s="60">
        <f t="shared" si="2"/>
        <v>32.450000000000003</v>
      </c>
      <c r="V44" s="36"/>
      <c r="X44" s="118" t="s">
        <v>156</v>
      </c>
    </row>
    <row r="45" spans="1:24" ht="66">
      <c r="A45" s="37" t="s">
        <v>425</v>
      </c>
      <c r="B45" s="172" t="s">
        <v>157</v>
      </c>
      <c r="C45" s="34" t="s">
        <v>233</v>
      </c>
      <c r="D45" s="34"/>
      <c r="E45" s="34">
        <v>2018</v>
      </c>
      <c r="F45" s="34">
        <v>2019</v>
      </c>
      <c r="G45" s="58">
        <f>28.1*1.18</f>
        <v>33.158000000000001</v>
      </c>
      <c r="H45" s="58">
        <f>28.1*1.18</f>
        <v>33.158000000000001</v>
      </c>
      <c r="I45" s="58"/>
      <c r="J45" s="34"/>
      <c r="K45" s="34"/>
      <c r="L45" s="34"/>
      <c r="M45" s="34"/>
      <c r="N45" s="34"/>
      <c r="O45" s="34"/>
      <c r="P45" s="58"/>
      <c r="Q45" s="58"/>
      <c r="R45" s="58"/>
      <c r="S45" s="58">
        <f>2.5*1.18</f>
        <v>2.9499999999999997</v>
      </c>
      <c r="T45" s="58">
        <f>25.6*1.18</f>
        <v>30.207999999999998</v>
      </c>
      <c r="U45" s="60">
        <f t="shared" si="2"/>
        <v>33.158000000000001</v>
      </c>
      <c r="V45" s="36"/>
      <c r="X45" s="118" t="s">
        <v>157</v>
      </c>
    </row>
    <row r="46" spans="1:24" ht="66">
      <c r="A46" s="37" t="s">
        <v>426</v>
      </c>
      <c r="B46" s="172" t="s">
        <v>158</v>
      </c>
      <c r="C46" s="34" t="s">
        <v>155</v>
      </c>
      <c r="D46" s="34"/>
      <c r="E46" s="34">
        <v>2019</v>
      </c>
      <c r="F46" s="34">
        <v>2020</v>
      </c>
      <c r="G46" s="58">
        <f>27.5*1.18</f>
        <v>32.449999999999996</v>
      </c>
      <c r="H46" s="58">
        <f>27.5*1.18</f>
        <v>32.449999999999996</v>
      </c>
      <c r="I46" s="58"/>
      <c r="J46" s="34"/>
      <c r="K46" s="34"/>
      <c r="L46" s="34"/>
      <c r="M46" s="34"/>
      <c r="N46" s="34"/>
      <c r="O46" s="34"/>
      <c r="P46" s="58"/>
      <c r="Q46" s="58"/>
      <c r="R46" s="58"/>
      <c r="S46" s="58"/>
      <c r="T46" s="58">
        <f>2.5*1.18</f>
        <v>2.9499999999999997</v>
      </c>
      <c r="U46" s="60">
        <f t="shared" si="2"/>
        <v>2.9499999999999997</v>
      </c>
      <c r="V46" s="36"/>
      <c r="X46" s="118" t="s">
        <v>158</v>
      </c>
    </row>
    <row r="47" spans="1:24" ht="82.5">
      <c r="A47" s="37" t="s">
        <v>427</v>
      </c>
      <c r="B47" s="172" t="s">
        <v>159</v>
      </c>
      <c r="C47" s="34" t="s">
        <v>233</v>
      </c>
      <c r="D47" s="34"/>
      <c r="E47" s="34">
        <v>2017</v>
      </c>
      <c r="F47" s="34">
        <v>2018</v>
      </c>
      <c r="G47" s="58">
        <f>16.1*1.18</f>
        <v>18.998000000000001</v>
      </c>
      <c r="H47" s="58">
        <f>16.1*1.18</f>
        <v>18.998000000000001</v>
      </c>
      <c r="I47" s="58"/>
      <c r="J47" s="34"/>
      <c r="K47" s="34"/>
      <c r="L47" s="34"/>
      <c r="M47" s="34"/>
      <c r="N47" s="34"/>
      <c r="O47" s="34"/>
      <c r="P47" s="58"/>
      <c r="Q47" s="58"/>
      <c r="R47" s="58">
        <f>0.6*1.18</f>
        <v>0.70799999999999996</v>
      </c>
      <c r="S47" s="58">
        <f>15.5*1.18</f>
        <v>18.29</v>
      </c>
      <c r="T47" s="58"/>
      <c r="U47" s="60">
        <f t="shared" si="2"/>
        <v>18.997999999999998</v>
      </c>
      <c r="V47" s="36"/>
      <c r="X47" s="118" t="s">
        <v>159</v>
      </c>
    </row>
    <row r="48" spans="1:24" ht="82.5">
      <c r="A48" s="37" t="s">
        <v>428</v>
      </c>
      <c r="B48" s="172" t="s">
        <v>160</v>
      </c>
      <c r="C48" s="34" t="s">
        <v>233</v>
      </c>
      <c r="D48" s="34"/>
      <c r="E48" s="34">
        <v>2016</v>
      </c>
      <c r="F48" s="34">
        <v>2017</v>
      </c>
      <c r="G48" s="58">
        <f>17*1.18</f>
        <v>20.059999999999999</v>
      </c>
      <c r="H48" s="58">
        <f>17*1.18</f>
        <v>20.059999999999999</v>
      </c>
      <c r="I48" s="58"/>
      <c r="J48" s="34"/>
      <c r="K48" s="34"/>
      <c r="L48" s="34"/>
      <c r="M48" s="34"/>
      <c r="N48" s="34"/>
      <c r="O48" s="34"/>
      <c r="P48" s="58"/>
      <c r="Q48" s="58">
        <f>1.5*1.18</f>
        <v>1.77</v>
      </c>
      <c r="R48" s="58">
        <f>15.5*1.18</f>
        <v>18.29</v>
      </c>
      <c r="S48" s="58"/>
      <c r="T48" s="58"/>
      <c r="U48" s="60">
        <f t="shared" si="2"/>
        <v>20.059999999999999</v>
      </c>
      <c r="V48" s="36"/>
      <c r="X48" s="118" t="s">
        <v>160</v>
      </c>
    </row>
    <row r="49" spans="1:24" ht="115.5">
      <c r="A49" s="37" t="s">
        <v>429</v>
      </c>
      <c r="B49" s="172" t="s">
        <v>161</v>
      </c>
      <c r="C49" s="34" t="s">
        <v>233</v>
      </c>
      <c r="D49" s="34"/>
      <c r="E49" s="34">
        <v>2017</v>
      </c>
      <c r="F49" s="34">
        <v>2018</v>
      </c>
      <c r="G49" s="58">
        <f>10.7*1.18</f>
        <v>12.625999999999998</v>
      </c>
      <c r="H49" s="58">
        <f>10.7*1.18</f>
        <v>12.625999999999998</v>
      </c>
      <c r="I49" s="58"/>
      <c r="J49" s="34"/>
      <c r="K49" s="34"/>
      <c r="L49" s="34"/>
      <c r="M49" s="34"/>
      <c r="N49" s="34"/>
      <c r="O49" s="34"/>
      <c r="P49" s="58"/>
      <c r="Q49" s="58"/>
      <c r="R49" s="58">
        <f>0.9*1.18</f>
        <v>1.0620000000000001</v>
      </c>
      <c r="S49" s="58">
        <f>9.8*1.18</f>
        <v>11.564</v>
      </c>
      <c r="T49" s="58"/>
      <c r="U49" s="60">
        <f t="shared" si="2"/>
        <v>12.625999999999999</v>
      </c>
      <c r="V49" s="36"/>
      <c r="X49" s="118" t="s">
        <v>161</v>
      </c>
    </row>
    <row r="50" spans="1:24" ht="49.5">
      <c r="A50" s="37" t="s">
        <v>430</v>
      </c>
      <c r="B50" s="172" t="s">
        <v>162</v>
      </c>
      <c r="C50" s="34" t="s">
        <v>233</v>
      </c>
      <c r="D50" s="34"/>
      <c r="E50" s="34">
        <v>2017</v>
      </c>
      <c r="F50" s="34">
        <v>2017</v>
      </c>
      <c r="G50" s="58">
        <f>1.4*1.18</f>
        <v>1.6519999999999999</v>
      </c>
      <c r="H50" s="58">
        <f>1.4*1.18</f>
        <v>1.6519999999999999</v>
      </c>
      <c r="I50" s="58"/>
      <c r="J50" s="34"/>
      <c r="K50" s="34"/>
      <c r="L50" s="34"/>
      <c r="M50" s="34"/>
      <c r="N50" s="34"/>
      <c r="O50" s="34"/>
      <c r="P50" s="58"/>
      <c r="Q50" s="58"/>
      <c r="R50" s="58">
        <f>1.4*1.18</f>
        <v>1.6519999999999999</v>
      </c>
      <c r="S50" s="58"/>
      <c r="T50" s="58"/>
      <c r="U50" s="60">
        <f t="shared" si="2"/>
        <v>1.6519999999999999</v>
      </c>
      <c r="V50" s="36"/>
      <c r="X50" s="118" t="s">
        <v>162</v>
      </c>
    </row>
    <row r="51" spans="1:24" ht="49.5">
      <c r="A51" s="37" t="s">
        <v>431</v>
      </c>
      <c r="B51" s="172" t="s">
        <v>163</v>
      </c>
      <c r="C51" s="34" t="s">
        <v>233</v>
      </c>
      <c r="D51" s="34"/>
      <c r="E51" s="34">
        <v>2018</v>
      </c>
      <c r="F51" s="34">
        <v>2018</v>
      </c>
      <c r="G51" s="58">
        <f>2*1.18</f>
        <v>2.36</v>
      </c>
      <c r="H51" s="58">
        <f>2*1.18</f>
        <v>2.36</v>
      </c>
      <c r="I51" s="58"/>
      <c r="J51" s="34"/>
      <c r="K51" s="34"/>
      <c r="L51" s="34"/>
      <c r="M51" s="34"/>
      <c r="N51" s="34"/>
      <c r="O51" s="34"/>
      <c r="P51" s="58"/>
      <c r="Q51" s="58"/>
      <c r="R51" s="58"/>
      <c r="S51" s="58">
        <f>2*1.18</f>
        <v>2.36</v>
      </c>
      <c r="T51" s="58"/>
      <c r="U51" s="60">
        <f t="shared" si="2"/>
        <v>2.36</v>
      </c>
      <c r="V51" s="36"/>
      <c r="X51" s="118" t="s">
        <v>163</v>
      </c>
    </row>
    <row r="52" spans="1:24" ht="49.5">
      <c r="A52" s="37" t="s">
        <v>432</v>
      </c>
      <c r="B52" s="172" t="s">
        <v>164</v>
      </c>
      <c r="C52" s="34" t="s">
        <v>233</v>
      </c>
      <c r="D52" s="34"/>
      <c r="E52" s="34">
        <v>2017</v>
      </c>
      <c r="F52" s="34">
        <v>2019</v>
      </c>
      <c r="G52" s="58">
        <f>30.9*1.18</f>
        <v>36.461999999999996</v>
      </c>
      <c r="H52" s="58">
        <f>30.9*1.18</f>
        <v>36.461999999999996</v>
      </c>
      <c r="I52" s="58"/>
      <c r="J52" s="34"/>
      <c r="K52" s="34"/>
      <c r="L52" s="34"/>
      <c r="M52" s="34"/>
      <c r="N52" s="34"/>
      <c r="O52" s="34"/>
      <c r="P52" s="58"/>
      <c r="Q52" s="58"/>
      <c r="R52" s="58">
        <f>0.9*1.18</f>
        <v>1.0620000000000001</v>
      </c>
      <c r="S52" s="58">
        <f>10*1.18</f>
        <v>11.799999999999999</v>
      </c>
      <c r="T52" s="58">
        <f>20*1.18</f>
        <v>23.599999999999998</v>
      </c>
      <c r="U52" s="60">
        <f t="shared" si="2"/>
        <v>36.461999999999996</v>
      </c>
      <c r="V52" s="36"/>
      <c r="X52" s="118" t="s">
        <v>164</v>
      </c>
    </row>
    <row r="53" spans="1:24" s="31" customFormat="1" ht="66">
      <c r="A53" s="37" t="s">
        <v>433</v>
      </c>
      <c r="B53" s="172" t="s">
        <v>165</v>
      </c>
      <c r="C53" s="34" t="s">
        <v>85</v>
      </c>
      <c r="D53" s="34"/>
      <c r="E53" s="34">
        <v>2017</v>
      </c>
      <c r="F53" s="34">
        <v>2017</v>
      </c>
      <c r="G53" s="58">
        <f>4.1*1.18</f>
        <v>4.8379999999999992</v>
      </c>
      <c r="H53" s="58">
        <f>4.1*1.18</f>
        <v>4.8379999999999992</v>
      </c>
      <c r="I53" s="58"/>
      <c r="J53" s="34"/>
      <c r="K53" s="34"/>
      <c r="L53" s="34"/>
      <c r="M53" s="34"/>
      <c r="N53" s="34"/>
      <c r="O53" s="34"/>
      <c r="P53" s="58"/>
      <c r="Q53" s="58"/>
      <c r="R53" s="58">
        <f>4.1*1.18</f>
        <v>4.8379999999999992</v>
      </c>
      <c r="S53" s="58"/>
      <c r="T53" s="58"/>
      <c r="U53" s="60">
        <f t="shared" si="2"/>
        <v>4.8379999999999992</v>
      </c>
      <c r="V53" s="36"/>
      <c r="X53" s="118" t="s">
        <v>165</v>
      </c>
    </row>
    <row r="54" spans="1:24" ht="33">
      <c r="A54" s="37" t="s">
        <v>434</v>
      </c>
      <c r="B54" s="54" t="s">
        <v>166</v>
      </c>
      <c r="C54" s="34" t="s">
        <v>85</v>
      </c>
      <c r="D54" s="34" t="s">
        <v>167</v>
      </c>
      <c r="E54" s="34">
        <v>2015</v>
      </c>
      <c r="F54" s="34">
        <v>2017</v>
      </c>
      <c r="G54" s="58">
        <f>200*1.18</f>
        <v>236</v>
      </c>
      <c r="H54" s="58">
        <f>200*1.18</f>
        <v>236</v>
      </c>
      <c r="I54" s="58"/>
      <c r="J54" s="34" t="s">
        <v>168</v>
      </c>
      <c r="K54" s="34" t="s">
        <v>169</v>
      </c>
      <c r="L54" s="34" t="s">
        <v>170</v>
      </c>
      <c r="M54" s="34"/>
      <c r="N54" s="34"/>
      <c r="O54" s="34" t="s">
        <v>167</v>
      </c>
      <c r="P54" s="58">
        <f>89*1.18</f>
        <v>105.02</v>
      </c>
      <c r="Q54" s="58">
        <f>91*1.18</f>
        <v>107.38</v>
      </c>
      <c r="R54" s="58">
        <f>20*1.18</f>
        <v>23.599999999999998</v>
      </c>
      <c r="S54" s="58"/>
      <c r="T54" s="58"/>
      <c r="U54" s="60">
        <f t="shared" si="2"/>
        <v>235.99999999999997</v>
      </c>
      <c r="V54" s="36"/>
      <c r="X54" s="119" t="s">
        <v>166</v>
      </c>
    </row>
    <row r="55" spans="1:24" ht="33">
      <c r="A55" s="37" t="s">
        <v>435</v>
      </c>
      <c r="B55" s="54" t="s">
        <v>171</v>
      </c>
      <c r="C55" s="34" t="s">
        <v>233</v>
      </c>
      <c r="D55" s="34" t="s">
        <v>172</v>
      </c>
      <c r="E55" s="34">
        <v>2016</v>
      </c>
      <c r="F55" s="34">
        <v>2018</v>
      </c>
      <c r="G55" s="58">
        <f>70*1.18</f>
        <v>82.6</v>
      </c>
      <c r="H55" s="58">
        <f>70*1.18</f>
        <v>82.6</v>
      </c>
      <c r="I55" s="58"/>
      <c r="J55" s="34"/>
      <c r="K55" s="34"/>
      <c r="L55" s="34" t="s">
        <v>173</v>
      </c>
      <c r="M55" s="34" t="s">
        <v>174</v>
      </c>
      <c r="N55" s="34"/>
      <c r="O55" s="34" t="s">
        <v>172</v>
      </c>
      <c r="P55" s="58"/>
      <c r="Q55" s="58">
        <f>8*1.18</f>
        <v>9.44</v>
      </c>
      <c r="R55" s="58">
        <f>32*1.18</f>
        <v>37.76</v>
      </c>
      <c r="S55" s="58">
        <f>30*1.18</f>
        <v>35.4</v>
      </c>
      <c r="T55" s="58"/>
      <c r="U55" s="60">
        <f t="shared" si="2"/>
        <v>82.6</v>
      </c>
      <c r="V55" s="36"/>
      <c r="X55" s="119" t="s">
        <v>171</v>
      </c>
    </row>
    <row r="56" spans="1:24" ht="49.5">
      <c r="A56" s="37" t="s">
        <v>436</v>
      </c>
      <c r="B56" s="54" t="s">
        <v>175</v>
      </c>
      <c r="C56" s="34" t="s">
        <v>233</v>
      </c>
      <c r="D56" s="34" t="s">
        <v>176</v>
      </c>
      <c r="E56" s="34">
        <v>2016</v>
      </c>
      <c r="F56" s="34">
        <v>2017</v>
      </c>
      <c r="G56" s="58">
        <f>55*1.18</f>
        <v>64.899999999999991</v>
      </c>
      <c r="H56" s="58">
        <f>55*1.18</f>
        <v>64.899999999999991</v>
      </c>
      <c r="I56" s="58"/>
      <c r="J56" s="34"/>
      <c r="K56" s="34"/>
      <c r="L56" s="34" t="s">
        <v>176</v>
      </c>
      <c r="M56" s="34"/>
      <c r="N56" s="34"/>
      <c r="O56" s="34" t="s">
        <v>176</v>
      </c>
      <c r="P56" s="58"/>
      <c r="Q56" s="58">
        <f>5*1.18</f>
        <v>5.8999999999999995</v>
      </c>
      <c r="R56" s="58">
        <f>50*1.18</f>
        <v>59</v>
      </c>
      <c r="S56" s="58"/>
      <c r="T56" s="58"/>
      <c r="U56" s="60">
        <f t="shared" si="2"/>
        <v>64.900000000000006</v>
      </c>
      <c r="V56" s="36"/>
      <c r="X56" s="119" t="s">
        <v>175</v>
      </c>
    </row>
    <row r="57" spans="1:24" ht="33">
      <c r="A57" s="37" t="s">
        <v>437</v>
      </c>
      <c r="B57" s="54" t="s">
        <v>177</v>
      </c>
      <c r="C57" s="34" t="s">
        <v>233</v>
      </c>
      <c r="D57" s="34" t="s">
        <v>178</v>
      </c>
      <c r="E57" s="34">
        <v>2017</v>
      </c>
      <c r="F57" s="34">
        <v>2018</v>
      </c>
      <c r="G57" s="58">
        <f>65*1.18</f>
        <v>76.7</v>
      </c>
      <c r="H57" s="58">
        <f>65*1.18</f>
        <v>76.7</v>
      </c>
      <c r="I57" s="58"/>
      <c r="J57" s="34"/>
      <c r="K57" s="34"/>
      <c r="L57" s="34" t="s">
        <v>179</v>
      </c>
      <c r="M57" s="34" t="s">
        <v>180</v>
      </c>
      <c r="N57" s="34"/>
      <c r="O57" s="34" t="s">
        <v>178</v>
      </c>
      <c r="P57" s="58"/>
      <c r="Q57" s="58"/>
      <c r="R57" s="58">
        <f>43*1.18</f>
        <v>50.739999999999995</v>
      </c>
      <c r="S57" s="58">
        <f>22*1.18</f>
        <v>25.959999999999997</v>
      </c>
      <c r="T57" s="58"/>
      <c r="U57" s="60">
        <f t="shared" si="2"/>
        <v>76.699999999999989</v>
      </c>
      <c r="V57" s="36"/>
      <c r="X57" s="119" t="s">
        <v>177</v>
      </c>
    </row>
    <row r="58" spans="1:24" ht="33">
      <c r="A58" s="37" t="s">
        <v>438</v>
      </c>
      <c r="B58" s="54" t="s">
        <v>181</v>
      </c>
      <c r="C58" s="34" t="s">
        <v>233</v>
      </c>
      <c r="D58" s="34" t="s">
        <v>182</v>
      </c>
      <c r="E58" s="34">
        <v>2017</v>
      </c>
      <c r="F58" s="34">
        <v>2019</v>
      </c>
      <c r="G58" s="58">
        <f>123*1.18</f>
        <v>145.13999999999999</v>
      </c>
      <c r="H58" s="58">
        <f>123*1.18</f>
        <v>145.13999999999999</v>
      </c>
      <c r="I58" s="58"/>
      <c r="J58" s="34"/>
      <c r="K58" s="34"/>
      <c r="L58" s="34"/>
      <c r="M58" s="34" t="s">
        <v>183</v>
      </c>
      <c r="N58" s="34" t="s">
        <v>184</v>
      </c>
      <c r="O58" s="34" t="s">
        <v>182</v>
      </c>
      <c r="P58" s="58"/>
      <c r="Q58" s="58"/>
      <c r="R58" s="58">
        <f>3*1.18</f>
        <v>3.54</v>
      </c>
      <c r="S58" s="58">
        <f>75*1.18</f>
        <v>88.5</v>
      </c>
      <c r="T58" s="58">
        <f>45*1.18</f>
        <v>53.099999999999994</v>
      </c>
      <c r="U58" s="60">
        <f t="shared" si="2"/>
        <v>145.13999999999999</v>
      </c>
      <c r="V58" s="36"/>
      <c r="X58" s="119" t="s">
        <v>181</v>
      </c>
    </row>
    <row r="59" spans="1:24" ht="33">
      <c r="A59" s="37" t="s">
        <v>439</v>
      </c>
      <c r="B59" s="54" t="s">
        <v>185</v>
      </c>
      <c r="C59" s="34" t="s">
        <v>233</v>
      </c>
      <c r="D59" s="34" t="s">
        <v>186</v>
      </c>
      <c r="E59" s="34">
        <v>2018</v>
      </c>
      <c r="F59" s="34">
        <v>2019</v>
      </c>
      <c r="G59" s="58">
        <f>82*1.18</f>
        <v>96.759999999999991</v>
      </c>
      <c r="H59" s="58">
        <f>82*1.18</f>
        <v>96.759999999999991</v>
      </c>
      <c r="I59" s="58"/>
      <c r="J59" s="34"/>
      <c r="K59" s="34"/>
      <c r="L59" s="34"/>
      <c r="M59" s="34"/>
      <c r="N59" s="34" t="s">
        <v>186</v>
      </c>
      <c r="O59" s="34" t="s">
        <v>186</v>
      </c>
      <c r="P59" s="58"/>
      <c r="Q59" s="58"/>
      <c r="R59" s="58"/>
      <c r="S59" s="58">
        <f>7*1.18</f>
        <v>8.26</v>
      </c>
      <c r="T59" s="58">
        <f>75*1.18</f>
        <v>88.5</v>
      </c>
      <c r="U59" s="60">
        <f t="shared" si="2"/>
        <v>96.76</v>
      </c>
      <c r="V59" s="36"/>
      <c r="X59" s="119" t="s">
        <v>185</v>
      </c>
    </row>
    <row r="60" spans="1:24" ht="33">
      <c r="A60" s="37" t="s">
        <v>440</v>
      </c>
      <c r="B60" s="54" t="s">
        <v>187</v>
      </c>
      <c r="C60" s="34" t="s">
        <v>233</v>
      </c>
      <c r="D60" s="34" t="s">
        <v>188</v>
      </c>
      <c r="E60" s="34">
        <v>2017</v>
      </c>
      <c r="F60" s="34">
        <v>2019</v>
      </c>
      <c r="G60" s="58">
        <f>77*1.18</f>
        <v>90.86</v>
      </c>
      <c r="H60" s="58">
        <f>77*1.18</f>
        <v>90.86</v>
      </c>
      <c r="I60" s="58"/>
      <c r="J60" s="34"/>
      <c r="K60" s="34"/>
      <c r="L60" s="34"/>
      <c r="M60" s="34" t="s">
        <v>174</v>
      </c>
      <c r="N60" s="34" t="s">
        <v>189</v>
      </c>
      <c r="O60" s="34" t="s">
        <v>188</v>
      </c>
      <c r="P60" s="58"/>
      <c r="Q60" s="58"/>
      <c r="R60" s="58">
        <f>7*1.18</f>
        <v>8.26</v>
      </c>
      <c r="S60" s="58">
        <f>30*1.18</f>
        <v>35.4</v>
      </c>
      <c r="T60" s="58">
        <f>40*1.18</f>
        <v>47.199999999999996</v>
      </c>
      <c r="U60" s="60">
        <f t="shared" si="2"/>
        <v>90.859999999999985</v>
      </c>
      <c r="V60" s="36"/>
      <c r="X60" s="119" t="s">
        <v>187</v>
      </c>
    </row>
    <row r="61" spans="1:24" ht="33">
      <c r="A61" s="37" t="s">
        <v>441</v>
      </c>
      <c r="B61" s="54" t="s">
        <v>190</v>
      </c>
      <c r="C61" s="34" t="s">
        <v>233</v>
      </c>
      <c r="D61" s="34" t="s">
        <v>191</v>
      </c>
      <c r="E61" s="34">
        <v>2018</v>
      </c>
      <c r="F61" s="34">
        <v>2019</v>
      </c>
      <c r="G61" s="58">
        <f>27*1.18</f>
        <v>31.86</v>
      </c>
      <c r="H61" s="58">
        <f>27*1.18</f>
        <v>31.86</v>
      </c>
      <c r="I61" s="58"/>
      <c r="J61" s="34"/>
      <c r="K61" s="34"/>
      <c r="L61" s="34"/>
      <c r="M61" s="34"/>
      <c r="N61" s="34" t="s">
        <v>191</v>
      </c>
      <c r="O61" s="34" t="s">
        <v>191</v>
      </c>
      <c r="P61" s="58"/>
      <c r="Q61" s="58"/>
      <c r="R61" s="58"/>
      <c r="S61" s="58">
        <f>2*1.18</f>
        <v>2.36</v>
      </c>
      <c r="T61" s="58">
        <f>25*1.18</f>
        <v>29.5</v>
      </c>
      <c r="U61" s="60">
        <f t="shared" si="2"/>
        <v>31.86</v>
      </c>
      <c r="V61" s="36"/>
      <c r="X61" s="119" t="s">
        <v>190</v>
      </c>
    </row>
    <row r="62" spans="1:24" ht="16.5">
      <c r="A62" s="37" t="s">
        <v>442</v>
      </c>
      <c r="B62" s="54" t="s">
        <v>192</v>
      </c>
      <c r="C62" s="34" t="s">
        <v>85</v>
      </c>
      <c r="D62" s="34"/>
      <c r="E62" s="34">
        <v>2017</v>
      </c>
      <c r="F62" s="34">
        <v>2017</v>
      </c>
      <c r="G62" s="58">
        <f>0.4*1.18</f>
        <v>0.47199999999999998</v>
      </c>
      <c r="H62" s="58">
        <f>0.4*1.18</f>
        <v>0.47199999999999998</v>
      </c>
      <c r="I62" s="58"/>
      <c r="J62" s="34"/>
      <c r="K62" s="34"/>
      <c r="L62" s="34"/>
      <c r="M62" s="34"/>
      <c r="N62" s="34"/>
      <c r="O62" s="34"/>
      <c r="P62" s="58"/>
      <c r="Q62" s="58"/>
      <c r="R62" s="58">
        <f>0.4*1.18</f>
        <v>0.47199999999999998</v>
      </c>
      <c r="S62" s="58"/>
      <c r="T62" s="58"/>
      <c r="U62" s="60">
        <f t="shared" si="2"/>
        <v>0.47199999999999998</v>
      </c>
      <c r="V62" s="36"/>
      <c r="X62" s="119" t="s">
        <v>192</v>
      </c>
    </row>
    <row r="63" spans="1:24" ht="66">
      <c r="A63" s="37" t="s">
        <v>443</v>
      </c>
      <c r="B63" s="173" t="s">
        <v>193</v>
      </c>
      <c r="C63" s="34" t="s">
        <v>233</v>
      </c>
      <c r="D63" s="34" t="s">
        <v>194</v>
      </c>
      <c r="E63" s="34">
        <v>2015</v>
      </c>
      <c r="F63" s="34">
        <v>2019</v>
      </c>
      <c r="G63" s="58">
        <f>147.8*1.18</f>
        <v>174.404</v>
      </c>
      <c r="H63" s="58">
        <f>147.8*1.18</f>
        <v>174.404</v>
      </c>
      <c r="I63" s="58"/>
      <c r="J63" s="34" t="s">
        <v>195</v>
      </c>
      <c r="K63" s="34" t="s">
        <v>195</v>
      </c>
      <c r="L63" s="34" t="s">
        <v>195</v>
      </c>
      <c r="M63" s="34" t="s">
        <v>195</v>
      </c>
      <c r="N63" s="34" t="s">
        <v>195</v>
      </c>
      <c r="O63" s="34" t="s">
        <v>194</v>
      </c>
      <c r="P63" s="58">
        <f>30*1.18</f>
        <v>35.4</v>
      </c>
      <c r="Q63" s="58">
        <f>45*1.18</f>
        <v>53.099999999999994</v>
      </c>
      <c r="R63" s="58">
        <f>40*1.18</f>
        <v>47.199999999999996</v>
      </c>
      <c r="S63" s="58">
        <f>19.6*1.18</f>
        <v>23.128</v>
      </c>
      <c r="T63" s="58">
        <f>13.2*1.18</f>
        <v>15.575999999999999</v>
      </c>
      <c r="U63" s="60">
        <f t="shared" si="2"/>
        <v>174.40399999999997</v>
      </c>
      <c r="V63" s="36"/>
      <c r="X63" s="120" t="s">
        <v>193</v>
      </c>
    </row>
    <row r="64" spans="1:24" s="65" customFormat="1" ht="33">
      <c r="A64" s="37" t="s">
        <v>444</v>
      </c>
      <c r="B64" s="173" t="s">
        <v>196</v>
      </c>
      <c r="C64" s="34" t="s">
        <v>233</v>
      </c>
      <c r="D64" s="34" t="s">
        <v>197</v>
      </c>
      <c r="E64" s="34">
        <v>2019</v>
      </c>
      <c r="F64" s="34">
        <v>2020</v>
      </c>
      <c r="G64" s="58">
        <v>70</v>
      </c>
      <c r="H64" s="58">
        <v>70</v>
      </c>
      <c r="I64" s="58"/>
      <c r="J64" s="34"/>
      <c r="K64" s="34"/>
      <c r="L64" s="34"/>
      <c r="M64" s="34"/>
      <c r="N64" s="34"/>
      <c r="O64" s="34"/>
      <c r="P64" s="58"/>
      <c r="Q64" s="58"/>
      <c r="R64" s="58"/>
      <c r="S64" s="58"/>
      <c r="T64" s="58">
        <f>4*1.18</f>
        <v>4.72</v>
      </c>
      <c r="U64" s="60">
        <f t="shared" si="2"/>
        <v>4.72</v>
      </c>
      <c r="V64" s="36"/>
      <c r="X64" s="120" t="s">
        <v>196</v>
      </c>
    </row>
    <row r="65" spans="1:24" ht="66">
      <c r="A65" s="37" t="s">
        <v>445</v>
      </c>
      <c r="B65" s="39" t="s">
        <v>698</v>
      </c>
      <c r="C65" s="34" t="s">
        <v>233</v>
      </c>
      <c r="D65" s="34" t="s">
        <v>198</v>
      </c>
      <c r="E65" s="34">
        <v>2006</v>
      </c>
      <c r="F65" s="34">
        <v>2019</v>
      </c>
      <c r="G65" s="58">
        <f>319.642*1.18+H65+I65</f>
        <v>1202.06556</v>
      </c>
      <c r="H65" s="58">
        <f>450*1.18</f>
        <v>531</v>
      </c>
      <c r="I65" s="58">
        <v>293.88799999999998</v>
      </c>
      <c r="J65" s="34" t="s">
        <v>199</v>
      </c>
      <c r="K65" s="34" t="s">
        <v>199</v>
      </c>
      <c r="L65" s="34" t="s">
        <v>199</v>
      </c>
      <c r="M65" s="34" t="s">
        <v>199</v>
      </c>
      <c r="N65" s="34" t="s">
        <v>199</v>
      </c>
      <c r="O65" s="34" t="s">
        <v>198</v>
      </c>
      <c r="P65" s="58">
        <f>90*1.18</f>
        <v>106.19999999999999</v>
      </c>
      <c r="Q65" s="58">
        <f>90*1.18</f>
        <v>106.19999999999999</v>
      </c>
      <c r="R65" s="58">
        <f>90*1.18</f>
        <v>106.19999999999999</v>
      </c>
      <c r="S65" s="58">
        <f>90*1.18</f>
        <v>106.19999999999999</v>
      </c>
      <c r="T65" s="58">
        <f>90*1.18</f>
        <v>106.19999999999999</v>
      </c>
      <c r="U65" s="60">
        <f t="shared" si="2"/>
        <v>531</v>
      </c>
      <c r="V65" s="36"/>
      <c r="X65" s="121" t="s">
        <v>698</v>
      </c>
    </row>
    <row r="66" spans="1:24" ht="64.5" customHeight="1">
      <c r="A66" s="37" t="s">
        <v>446</v>
      </c>
      <c r="B66" s="32" t="s">
        <v>234</v>
      </c>
      <c r="C66" s="34" t="s">
        <v>85</v>
      </c>
      <c r="D66" s="67"/>
      <c r="E66" s="34">
        <v>2015</v>
      </c>
      <c r="F66" s="34">
        <v>2015</v>
      </c>
      <c r="G66" s="58">
        <v>16.670999999999999</v>
      </c>
      <c r="H66" s="58">
        <v>16.670999999999999</v>
      </c>
      <c r="I66" s="58">
        <v>0</v>
      </c>
      <c r="J66" s="34"/>
      <c r="K66" s="34"/>
      <c r="L66" s="34"/>
      <c r="M66" s="34"/>
      <c r="N66" s="34"/>
      <c r="O66" s="34"/>
      <c r="P66" s="58">
        <v>16.670999999999999</v>
      </c>
      <c r="Q66" s="58"/>
      <c r="R66" s="58"/>
      <c r="S66" s="58"/>
      <c r="T66" s="58"/>
      <c r="U66" s="60">
        <f>P66+Q66+R66+S66+T66</f>
        <v>16.670999999999999</v>
      </c>
      <c r="V66" s="36"/>
      <c r="X66" s="116" t="s">
        <v>234</v>
      </c>
    </row>
    <row r="67" spans="1:24" ht="82.5">
      <c r="A67" s="37" t="s">
        <v>447</v>
      </c>
      <c r="B67" s="32" t="s">
        <v>235</v>
      </c>
      <c r="C67" s="34" t="s">
        <v>85</v>
      </c>
      <c r="D67" s="67"/>
      <c r="E67" s="34">
        <v>2014</v>
      </c>
      <c r="F67" s="34">
        <v>2015</v>
      </c>
      <c r="G67" s="58">
        <v>10.952999999999999</v>
      </c>
      <c r="H67" s="58">
        <v>7.67</v>
      </c>
      <c r="I67" s="58">
        <v>3.2829999999999999</v>
      </c>
      <c r="J67" s="34"/>
      <c r="K67" s="34"/>
      <c r="L67" s="34"/>
      <c r="M67" s="34"/>
      <c r="N67" s="34"/>
      <c r="O67" s="34"/>
      <c r="P67" s="58">
        <v>7.67</v>
      </c>
      <c r="Q67" s="58"/>
      <c r="R67" s="58"/>
      <c r="S67" s="58"/>
      <c r="T67" s="58"/>
      <c r="U67" s="60">
        <f t="shared" ref="U67:U85" si="3">P67+Q67+R67+S67+T67</f>
        <v>7.67</v>
      </c>
      <c r="V67" s="36"/>
      <c r="X67" s="116" t="s">
        <v>235</v>
      </c>
    </row>
    <row r="68" spans="1:24" ht="48.75" customHeight="1">
      <c r="A68" s="37" t="s">
        <v>448</v>
      </c>
      <c r="B68" s="32" t="s">
        <v>236</v>
      </c>
      <c r="C68" s="34" t="s">
        <v>85</v>
      </c>
      <c r="D68" s="34" t="s">
        <v>607</v>
      </c>
      <c r="E68" s="34">
        <v>2014</v>
      </c>
      <c r="F68" s="34">
        <v>2015</v>
      </c>
      <c r="G68" s="58">
        <v>24.19</v>
      </c>
      <c r="H68" s="58">
        <v>21.24</v>
      </c>
      <c r="I68" s="58">
        <v>2.95</v>
      </c>
      <c r="J68" s="34" t="s">
        <v>607</v>
      </c>
      <c r="K68" s="34"/>
      <c r="L68" s="34"/>
      <c r="M68" s="34"/>
      <c r="N68" s="34"/>
      <c r="O68" s="34" t="s">
        <v>607</v>
      </c>
      <c r="P68" s="58">
        <v>21.24</v>
      </c>
      <c r="Q68" s="58"/>
      <c r="R68" s="58"/>
      <c r="S68" s="58"/>
      <c r="T68" s="58"/>
      <c r="U68" s="60">
        <f t="shared" si="3"/>
        <v>21.24</v>
      </c>
      <c r="V68" s="36"/>
      <c r="X68" s="116" t="s">
        <v>236</v>
      </c>
    </row>
    <row r="69" spans="1:24" ht="33">
      <c r="A69" s="37" t="s">
        <v>449</v>
      </c>
      <c r="B69" s="32" t="s">
        <v>237</v>
      </c>
      <c r="C69" s="34" t="s">
        <v>238</v>
      </c>
      <c r="D69" s="67"/>
      <c r="E69" s="34">
        <v>2015</v>
      </c>
      <c r="F69" s="34">
        <v>2015</v>
      </c>
      <c r="G69" s="58">
        <v>21.83</v>
      </c>
      <c r="H69" s="58">
        <v>21.83</v>
      </c>
      <c r="I69" s="58"/>
      <c r="J69" s="34"/>
      <c r="K69" s="34"/>
      <c r="L69" s="34"/>
      <c r="M69" s="34"/>
      <c r="N69" s="34"/>
      <c r="O69" s="34"/>
      <c r="P69" s="58">
        <v>21.83</v>
      </c>
      <c r="Q69" s="58"/>
      <c r="R69" s="58"/>
      <c r="S69" s="58"/>
      <c r="T69" s="58"/>
      <c r="U69" s="60">
        <f t="shared" si="3"/>
        <v>21.83</v>
      </c>
      <c r="V69" s="36"/>
      <c r="X69" s="116" t="s">
        <v>237</v>
      </c>
    </row>
    <row r="70" spans="1:24" ht="33">
      <c r="A70" s="37" t="s">
        <v>450</v>
      </c>
      <c r="B70" s="32" t="s">
        <v>239</v>
      </c>
      <c r="C70" s="34" t="s">
        <v>85</v>
      </c>
      <c r="D70" s="67"/>
      <c r="E70" s="34">
        <v>2015</v>
      </c>
      <c r="F70" s="34">
        <v>2017</v>
      </c>
      <c r="G70" s="58">
        <v>10.974</v>
      </c>
      <c r="H70" s="58">
        <v>10.974</v>
      </c>
      <c r="I70" s="58"/>
      <c r="J70" s="34"/>
      <c r="K70" s="34"/>
      <c r="L70" s="34"/>
      <c r="M70" s="34"/>
      <c r="N70" s="34"/>
      <c r="O70" s="34"/>
      <c r="P70" s="58">
        <v>4.6020000000000003</v>
      </c>
      <c r="Q70" s="58">
        <v>4.2480000000000002</v>
      </c>
      <c r="R70" s="58">
        <v>2.1240000000000001</v>
      </c>
      <c r="S70" s="58"/>
      <c r="T70" s="58"/>
      <c r="U70" s="60">
        <f t="shared" si="3"/>
        <v>10.974000000000002</v>
      </c>
      <c r="V70" s="36"/>
      <c r="X70" s="116" t="s">
        <v>239</v>
      </c>
    </row>
    <row r="71" spans="1:24" ht="33">
      <c r="A71" s="37" t="s">
        <v>451</v>
      </c>
      <c r="B71" s="32" t="s">
        <v>240</v>
      </c>
      <c r="C71" s="34" t="s">
        <v>238</v>
      </c>
      <c r="D71" s="67"/>
      <c r="E71" s="34">
        <v>2015</v>
      </c>
      <c r="F71" s="34">
        <v>2015</v>
      </c>
      <c r="G71" s="58">
        <v>2.95</v>
      </c>
      <c r="H71" s="58">
        <v>2.95</v>
      </c>
      <c r="I71" s="58"/>
      <c r="J71" s="34"/>
      <c r="K71" s="34"/>
      <c r="L71" s="34"/>
      <c r="M71" s="34"/>
      <c r="N71" s="34"/>
      <c r="O71" s="34"/>
      <c r="P71" s="58">
        <v>2.95</v>
      </c>
      <c r="Q71" s="58"/>
      <c r="R71" s="58"/>
      <c r="S71" s="58"/>
      <c r="T71" s="58"/>
      <c r="U71" s="60">
        <f t="shared" si="3"/>
        <v>2.95</v>
      </c>
      <c r="V71" s="36"/>
      <c r="X71" s="116" t="s">
        <v>240</v>
      </c>
    </row>
    <row r="72" spans="1:24" ht="16.5">
      <c r="A72" s="37" t="s">
        <v>452</v>
      </c>
      <c r="B72" s="32" t="s">
        <v>241</v>
      </c>
      <c r="C72" s="34" t="s">
        <v>85</v>
      </c>
      <c r="D72" s="34" t="s">
        <v>242</v>
      </c>
      <c r="E72" s="34">
        <v>2011</v>
      </c>
      <c r="F72" s="34">
        <v>2015</v>
      </c>
      <c r="G72" s="58">
        <v>5.0270000000000001</v>
      </c>
      <c r="H72" s="58">
        <v>4.72</v>
      </c>
      <c r="I72" s="58"/>
      <c r="J72" s="34" t="s">
        <v>242</v>
      </c>
      <c r="K72" s="34"/>
      <c r="L72" s="34"/>
      <c r="M72" s="34"/>
      <c r="N72" s="34"/>
      <c r="O72" s="34" t="s">
        <v>242</v>
      </c>
      <c r="P72" s="58">
        <v>4.72</v>
      </c>
      <c r="Q72" s="58"/>
      <c r="R72" s="58"/>
      <c r="S72" s="58"/>
      <c r="T72" s="58"/>
      <c r="U72" s="60">
        <f t="shared" si="3"/>
        <v>4.72</v>
      </c>
      <c r="V72" s="36"/>
      <c r="X72" s="116" t="s">
        <v>241</v>
      </c>
    </row>
    <row r="73" spans="1:24" ht="49.5">
      <c r="A73" s="37" t="s">
        <v>453</v>
      </c>
      <c r="B73" s="32" t="s">
        <v>243</v>
      </c>
      <c r="C73" s="34" t="s">
        <v>85</v>
      </c>
      <c r="D73" s="67"/>
      <c r="E73" s="34">
        <v>2016</v>
      </c>
      <c r="F73" s="34">
        <v>2018</v>
      </c>
      <c r="G73" s="58">
        <v>336.73399999999998</v>
      </c>
      <c r="H73" s="58">
        <v>336.73399999999998</v>
      </c>
      <c r="I73" s="58"/>
      <c r="J73" s="34"/>
      <c r="K73" s="34"/>
      <c r="L73" s="34"/>
      <c r="M73" s="34"/>
      <c r="N73" s="34"/>
      <c r="O73" s="34"/>
      <c r="P73" s="58"/>
      <c r="Q73" s="58">
        <v>108.971</v>
      </c>
      <c r="R73" s="58">
        <v>113.221</v>
      </c>
      <c r="S73" s="58">
        <v>114.542</v>
      </c>
      <c r="T73" s="58"/>
      <c r="U73" s="60">
        <f t="shared" si="3"/>
        <v>336.73400000000004</v>
      </c>
      <c r="V73" s="36"/>
      <c r="X73" s="116" t="s">
        <v>243</v>
      </c>
    </row>
    <row r="74" spans="1:24" ht="49.5">
      <c r="A74" s="37" t="s">
        <v>454</v>
      </c>
      <c r="B74" s="32" t="s">
        <v>244</v>
      </c>
      <c r="C74" s="34" t="s">
        <v>238</v>
      </c>
      <c r="D74" s="67"/>
      <c r="E74" s="34">
        <v>2016</v>
      </c>
      <c r="F74" s="34">
        <v>2017</v>
      </c>
      <c r="G74" s="58">
        <v>18.933</v>
      </c>
      <c r="H74" s="58">
        <v>18.933</v>
      </c>
      <c r="I74" s="58"/>
      <c r="J74" s="34"/>
      <c r="K74" s="34"/>
      <c r="L74" s="34"/>
      <c r="M74" s="34"/>
      <c r="N74" s="34"/>
      <c r="O74" s="34"/>
      <c r="P74" s="58"/>
      <c r="Q74" s="58">
        <v>7.133</v>
      </c>
      <c r="R74" s="58">
        <v>11.8</v>
      </c>
      <c r="S74" s="58"/>
      <c r="T74" s="58"/>
      <c r="U74" s="60">
        <f t="shared" si="3"/>
        <v>18.933</v>
      </c>
      <c r="V74" s="36"/>
      <c r="X74" s="116" t="s">
        <v>244</v>
      </c>
    </row>
    <row r="75" spans="1:24" ht="33">
      <c r="A75" s="37" t="s">
        <v>455</v>
      </c>
      <c r="B75" s="32" t="s">
        <v>245</v>
      </c>
      <c r="C75" s="34" t="s">
        <v>85</v>
      </c>
      <c r="D75" s="67"/>
      <c r="E75" s="34">
        <v>2016</v>
      </c>
      <c r="F75" s="34">
        <v>2016</v>
      </c>
      <c r="G75" s="58">
        <v>22.821000000000002</v>
      </c>
      <c r="H75" s="58">
        <v>22.821000000000002</v>
      </c>
      <c r="I75" s="58"/>
      <c r="J75" s="34"/>
      <c r="K75" s="34"/>
      <c r="L75" s="34"/>
      <c r="M75" s="34"/>
      <c r="N75" s="34"/>
      <c r="O75" s="34"/>
      <c r="P75" s="58"/>
      <c r="Q75" s="58">
        <v>22.821000000000002</v>
      </c>
      <c r="R75" s="58"/>
      <c r="S75" s="58"/>
      <c r="T75" s="58"/>
      <c r="U75" s="60">
        <f t="shared" si="3"/>
        <v>22.821000000000002</v>
      </c>
      <c r="V75" s="36"/>
      <c r="X75" s="116" t="s">
        <v>245</v>
      </c>
    </row>
    <row r="76" spans="1:24" ht="33">
      <c r="A76" s="37" t="s">
        <v>456</v>
      </c>
      <c r="B76" s="32" t="s">
        <v>246</v>
      </c>
      <c r="C76" s="34" t="s">
        <v>238</v>
      </c>
      <c r="D76" s="67"/>
      <c r="E76" s="34">
        <v>2016</v>
      </c>
      <c r="F76" s="34">
        <v>2017</v>
      </c>
      <c r="G76" s="58">
        <v>6.7530000000000001</v>
      </c>
      <c r="H76" s="58">
        <v>6.7530000000000001</v>
      </c>
      <c r="I76" s="58"/>
      <c r="J76" s="34"/>
      <c r="K76" s="34"/>
      <c r="L76" s="34"/>
      <c r="M76" s="34"/>
      <c r="N76" s="34"/>
      <c r="O76" s="34"/>
      <c r="P76" s="58"/>
      <c r="Q76" s="58">
        <v>0.61699999999999999</v>
      </c>
      <c r="R76" s="58">
        <v>6.1360000000000001</v>
      </c>
      <c r="S76" s="58"/>
      <c r="T76" s="58"/>
      <c r="U76" s="60">
        <f t="shared" si="3"/>
        <v>6.7530000000000001</v>
      </c>
      <c r="V76" s="36"/>
      <c r="X76" s="116" t="s">
        <v>246</v>
      </c>
    </row>
    <row r="77" spans="1:24" ht="16.5">
      <c r="A77" s="37" t="s">
        <v>457</v>
      </c>
      <c r="B77" s="32" t="s">
        <v>247</v>
      </c>
      <c r="C77" s="34" t="s">
        <v>85</v>
      </c>
      <c r="D77" s="34" t="s">
        <v>609</v>
      </c>
      <c r="E77" s="34">
        <v>2016</v>
      </c>
      <c r="F77" s="34">
        <v>2017</v>
      </c>
      <c r="G77" s="58">
        <v>33.04</v>
      </c>
      <c r="H77" s="58">
        <v>33.04</v>
      </c>
      <c r="I77" s="58"/>
      <c r="J77" s="34"/>
      <c r="K77" s="34" t="s">
        <v>608</v>
      </c>
      <c r="L77" s="34" t="s">
        <v>608</v>
      </c>
      <c r="M77" s="34"/>
      <c r="N77" s="34"/>
      <c r="O77" s="34" t="s">
        <v>609</v>
      </c>
      <c r="P77" s="58"/>
      <c r="Q77" s="58">
        <v>18.88</v>
      </c>
      <c r="R77" s="58">
        <v>14.16</v>
      </c>
      <c r="S77" s="58"/>
      <c r="T77" s="58"/>
      <c r="U77" s="60">
        <f t="shared" si="3"/>
        <v>33.04</v>
      </c>
      <c r="V77" s="36"/>
      <c r="X77" s="116" t="s">
        <v>247</v>
      </c>
    </row>
    <row r="78" spans="1:24" ht="49.5">
      <c r="A78" s="37" t="s">
        <v>458</v>
      </c>
      <c r="B78" s="32" t="s">
        <v>248</v>
      </c>
      <c r="C78" s="34" t="s">
        <v>85</v>
      </c>
      <c r="D78" s="67"/>
      <c r="E78" s="34">
        <v>2016</v>
      </c>
      <c r="F78" s="34">
        <v>2016</v>
      </c>
      <c r="G78" s="58">
        <v>7.1210000000000004</v>
      </c>
      <c r="H78" s="58">
        <v>7.1210000000000004</v>
      </c>
      <c r="I78" s="58"/>
      <c r="J78" s="34"/>
      <c r="K78" s="34"/>
      <c r="L78" s="34"/>
      <c r="M78" s="34"/>
      <c r="N78" s="34"/>
      <c r="O78" s="34"/>
      <c r="P78" s="58"/>
      <c r="Q78" s="58">
        <v>7.1210000000000004</v>
      </c>
      <c r="R78" s="58"/>
      <c r="S78" s="58"/>
      <c r="T78" s="58"/>
      <c r="U78" s="60">
        <f t="shared" si="3"/>
        <v>7.1210000000000004</v>
      </c>
      <c r="V78" s="36"/>
      <c r="X78" s="116" t="s">
        <v>248</v>
      </c>
    </row>
    <row r="79" spans="1:24" ht="33">
      <c r="A79" s="37" t="s">
        <v>459</v>
      </c>
      <c r="B79" s="32" t="s">
        <v>249</v>
      </c>
      <c r="C79" s="34" t="s">
        <v>85</v>
      </c>
      <c r="D79" s="67"/>
      <c r="E79" s="34">
        <v>2016</v>
      </c>
      <c r="F79" s="34">
        <v>2016</v>
      </c>
      <c r="G79" s="58">
        <v>0.66200000000000003</v>
      </c>
      <c r="H79" s="58">
        <v>0.66200000000000003</v>
      </c>
      <c r="I79" s="58"/>
      <c r="J79" s="34"/>
      <c r="K79" s="34"/>
      <c r="L79" s="34"/>
      <c r="M79" s="34"/>
      <c r="N79" s="34"/>
      <c r="O79" s="34"/>
      <c r="P79" s="58"/>
      <c r="Q79" s="58">
        <v>0.66200000000000003</v>
      </c>
      <c r="R79" s="58"/>
      <c r="S79" s="58"/>
      <c r="T79" s="58"/>
      <c r="U79" s="60">
        <f t="shared" si="3"/>
        <v>0.66200000000000003</v>
      </c>
      <c r="V79" s="36"/>
      <c r="X79" s="116" t="s">
        <v>249</v>
      </c>
    </row>
    <row r="80" spans="1:24" ht="15.75" customHeight="1">
      <c r="A80" s="37" t="s">
        <v>460</v>
      </c>
      <c r="B80" s="32" t="s">
        <v>250</v>
      </c>
      <c r="C80" s="34" t="s">
        <v>85</v>
      </c>
      <c r="D80" s="67"/>
      <c r="E80" s="34">
        <v>2016</v>
      </c>
      <c r="F80" s="34">
        <v>2016</v>
      </c>
      <c r="G80" s="58">
        <v>2.5369999999999999</v>
      </c>
      <c r="H80" s="58">
        <v>2.5369999999999999</v>
      </c>
      <c r="I80" s="58"/>
      <c r="J80" s="34"/>
      <c r="K80" s="34"/>
      <c r="L80" s="34"/>
      <c r="M80" s="34"/>
      <c r="N80" s="34"/>
      <c r="O80" s="34"/>
      <c r="P80" s="58"/>
      <c r="Q80" s="58">
        <v>2.5369999999999999</v>
      </c>
      <c r="R80" s="58"/>
      <c r="S80" s="58"/>
      <c r="T80" s="58"/>
      <c r="U80" s="60">
        <f t="shared" si="3"/>
        <v>2.5369999999999999</v>
      </c>
      <c r="V80" s="36"/>
      <c r="X80" s="116" t="s">
        <v>250</v>
      </c>
    </row>
    <row r="81" spans="1:24" ht="16.5">
      <c r="A81" s="37" t="s">
        <v>461</v>
      </c>
      <c r="B81" s="32" t="s">
        <v>251</v>
      </c>
      <c r="C81" s="34" t="s">
        <v>85</v>
      </c>
      <c r="D81" s="67"/>
      <c r="E81" s="34">
        <v>2017</v>
      </c>
      <c r="F81" s="34">
        <v>2018</v>
      </c>
      <c r="G81" s="58">
        <v>6.6550000000000002</v>
      </c>
      <c r="H81" s="58">
        <v>6.6550000000000002</v>
      </c>
      <c r="I81" s="58"/>
      <c r="J81" s="34"/>
      <c r="K81" s="34"/>
      <c r="L81" s="34"/>
      <c r="M81" s="34"/>
      <c r="N81" s="34"/>
      <c r="O81" s="34"/>
      <c r="P81" s="58"/>
      <c r="Q81" s="58"/>
      <c r="R81" s="58">
        <v>3.351</v>
      </c>
      <c r="S81" s="58">
        <v>3.3039999999999998</v>
      </c>
      <c r="T81" s="58"/>
      <c r="U81" s="60">
        <f t="shared" si="3"/>
        <v>6.6549999999999994</v>
      </c>
      <c r="V81" s="36"/>
      <c r="X81" s="116" t="s">
        <v>251</v>
      </c>
    </row>
    <row r="82" spans="1:24" ht="33">
      <c r="A82" s="37" t="s">
        <v>462</v>
      </c>
      <c r="B82" s="32" t="s">
        <v>252</v>
      </c>
      <c r="C82" s="34" t="s">
        <v>238</v>
      </c>
      <c r="D82" s="34" t="s">
        <v>147</v>
      </c>
      <c r="E82" s="34">
        <v>2018</v>
      </c>
      <c r="F82" s="34">
        <v>2018</v>
      </c>
      <c r="G82" s="58">
        <v>354</v>
      </c>
      <c r="H82" s="58">
        <v>354</v>
      </c>
      <c r="I82" s="58"/>
      <c r="J82" s="34"/>
      <c r="K82" s="34"/>
      <c r="L82" s="34"/>
      <c r="M82" s="34" t="s">
        <v>147</v>
      </c>
      <c r="N82" s="34"/>
      <c r="O82" s="34" t="s">
        <v>147</v>
      </c>
      <c r="P82" s="58"/>
      <c r="Q82" s="58"/>
      <c r="R82" s="58"/>
      <c r="S82" s="58">
        <v>354</v>
      </c>
      <c r="T82" s="58"/>
      <c r="U82" s="60">
        <f t="shared" si="3"/>
        <v>354</v>
      </c>
      <c r="V82" s="36"/>
      <c r="X82" s="116" t="s">
        <v>252</v>
      </c>
    </row>
    <row r="83" spans="1:24" ht="33.75" customHeight="1">
      <c r="A83" s="37" t="s">
        <v>463</v>
      </c>
      <c r="B83" s="32" t="s">
        <v>253</v>
      </c>
      <c r="C83" s="34" t="s">
        <v>238</v>
      </c>
      <c r="D83" s="34" t="s">
        <v>147</v>
      </c>
      <c r="E83" s="34">
        <v>2017</v>
      </c>
      <c r="F83" s="34">
        <v>2019</v>
      </c>
      <c r="G83" s="58">
        <v>626.58000000000004</v>
      </c>
      <c r="H83" s="58">
        <v>626.58000000000004</v>
      </c>
      <c r="I83" s="58"/>
      <c r="J83" s="34"/>
      <c r="K83" s="34"/>
      <c r="L83" s="34"/>
      <c r="M83" s="34"/>
      <c r="N83" s="34" t="s">
        <v>147</v>
      </c>
      <c r="O83" s="34" t="s">
        <v>147</v>
      </c>
      <c r="P83" s="58"/>
      <c r="Q83" s="58"/>
      <c r="R83" s="58">
        <v>29.5</v>
      </c>
      <c r="S83" s="58">
        <v>247.8</v>
      </c>
      <c r="T83" s="58">
        <v>349.28</v>
      </c>
      <c r="U83" s="60">
        <f t="shared" si="3"/>
        <v>626.57999999999993</v>
      </c>
      <c r="V83" s="36"/>
      <c r="X83" s="116" t="s">
        <v>253</v>
      </c>
    </row>
    <row r="84" spans="1:24" ht="49.5">
      <c r="A84" s="37" t="s">
        <v>464</v>
      </c>
      <c r="B84" s="32" t="s">
        <v>254</v>
      </c>
      <c r="C84" s="34" t="s">
        <v>85</v>
      </c>
      <c r="D84" s="67"/>
      <c r="E84" s="34">
        <v>2019</v>
      </c>
      <c r="F84" s="34">
        <v>2019</v>
      </c>
      <c r="G84" s="58">
        <v>9.44</v>
      </c>
      <c r="H84" s="58">
        <v>9.44</v>
      </c>
      <c r="I84" s="58"/>
      <c r="J84" s="34"/>
      <c r="K84" s="34"/>
      <c r="L84" s="34"/>
      <c r="M84" s="34"/>
      <c r="N84" s="34"/>
      <c r="O84" s="34"/>
      <c r="P84" s="58"/>
      <c r="Q84" s="58"/>
      <c r="R84" s="58"/>
      <c r="S84" s="58"/>
      <c r="T84" s="58">
        <v>9.44</v>
      </c>
      <c r="U84" s="60">
        <f t="shared" si="3"/>
        <v>9.44</v>
      </c>
      <c r="V84" s="36"/>
      <c r="X84" s="116" t="s">
        <v>254</v>
      </c>
    </row>
    <row r="85" spans="1:24" ht="66">
      <c r="A85" s="37" t="s">
        <v>465</v>
      </c>
      <c r="B85" s="39" t="s">
        <v>699</v>
      </c>
      <c r="C85" s="34" t="s">
        <v>238</v>
      </c>
      <c r="D85" s="34"/>
      <c r="E85" s="34">
        <v>2014</v>
      </c>
      <c r="F85" s="34">
        <v>2019</v>
      </c>
      <c r="G85" s="58">
        <v>59</v>
      </c>
      <c r="H85" s="58">
        <v>59</v>
      </c>
      <c r="I85" s="58"/>
      <c r="J85" s="34"/>
      <c r="K85" s="34"/>
      <c r="L85" s="34"/>
      <c r="M85" s="34"/>
      <c r="N85" s="34"/>
      <c r="O85" s="34"/>
      <c r="P85" s="58">
        <v>11.8</v>
      </c>
      <c r="Q85" s="58">
        <v>11.8</v>
      </c>
      <c r="R85" s="58">
        <v>11.8</v>
      </c>
      <c r="S85" s="58">
        <v>11.8</v>
      </c>
      <c r="T85" s="58">
        <v>11.8</v>
      </c>
      <c r="U85" s="60">
        <f t="shared" si="3"/>
        <v>59</v>
      </c>
      <c r="V85" s="36"/>
      <c r="X85" s="121" t="s">
        <v>699</v>
      </c>
    </row>
    <row r="86" spans="1:24" ht="82.5">
      <c r="A86" s="37" t="s">
        <v>466</v>
      </c>
      <c r="B86" s="136" t="s">
        <v>687</v>
      </c>
      <c r="C86" s="40" t="s">
        <v>264</v>
      </c>
      <c r="D86" s="69"/>
      <c r="E86" s="41">
        <v>2015</v>
      </c>
      <c r="F86" s="41">
        <v>2019</v>
      </c>
      <c r="G86" s="76">
        <v>324.5</v>
      </c>
      <c r="H86" s="78">
        <v>324.5</v>
      </c>
      <c r="I86" s="76"/>
      <c r="J86" s="42"/>
      <c r="K86" s="42"/>
      <c r="L86" s="42"/>
      <c r="M86" s="42"/>
      <c r="N86" s="42"/>
      <c r="O86" s="42"/>
      <c r="P86" s="76">
        <v>29.5</v>
      </c>
      <c r="Q86" s="76">
        <v>29.5</v>
      </c>
      <c r="R86" s="76">
        <v>88.5</v>
      </c>
      <c r="S86" s="58">
        <v>88.5</v>
      </c>
      <c r="T86" s="58">
        <v>88.5</v>
      </c>
      <c r="U86" s="60">
        <f>SUM(P86:T86)</f>
        <v>324.5</v>
      </c>
      <c r="V86" s="36"/>
      <c r="X86" s="122" t="s">
        <v>687</v>
      </c>
    </row>
    <row r="87" spans="1:24" ht="16.5">
      <c r="A87" s="37" t="s">
        <v>467</v>
      </c>
      <c r="B87" s="137" t="s">
        <v>265</v>
      </c>
      <c r="C87" s="34" t="s">
        <v>238</v>
      </c>
      <c r="D87" s="44" t="s">
        <v>266</v>
      </c>
      <c r="E87" s="41">
        <v>2017</v>
      </c>
      <c r="F87" s="41">
        <v>2019</v>
      </c>
      <c r="G87" s="76">
        <v>153.4</v>
      </c>
      <c r="H87" s="78">
        <v>153.4</v>
      </c>
      <c r="I87" s="76"/>
      <c r="J87" s="42"/>
      <c r="K87" s="42"/>
      <c r="L87" s="42"/>
      <c r="M87" s="45" t="s">
        <v>267</v>
      </c>
      <c r="N87" s="45" t="s">
        <v>267</v>
      </c>
      <c r="O87" s="44" t="s">
        <v>266</v>
      </c>
      <c r="P87" s="76"/>
      <c r="Q87" s="76"/>
      <c r="R87" s="76">
        <v>11.8</v>
      </c>
      <c r="S87" s="76">
        <v>70.8</v>
      </c>
      <c r="T87" s="57">
        <v>70.8</v>
      </c>
      <c r="U87" s="60">
        <f t="shared" ref="U87:U118" si="4">SUM(P87:T87)</f>
        <v>153.39999999999998</v>
      </c>
      <c r="V87" s="36"/>
      <c r="X87" s="122" t="s">
        <v>265</v>
      </c>
    </row>
    <row r="88" spans="1:24" ht="16.5">
      <c r="A88" s="37" t="s">
        <v>468</v>
      </c>
      <c r="B88" s="137" t="s">
        <v>268</v>
      </c>
      <c r="C88" s="40" t="s">
        <v>264</v>
      </c>
      <c r="D88" s="68" t="s">
        <v>269</v>
      </c>
      <c r="E88" s="41">
        <v>2006</v>
      </c>
      <c r="F88" s="41">
        <v>2016</v>
      </c>
      <c r="G88" s="76">
        <v>1888</v>
      </c>
      <c r="H88" s="78">
        <v>253.7</v>
      </c>
      <c r="I88" s="76"/>
      <c r="J88" s="44" t="s">
        <v>270</v>
      </c>
      <c r="K88" s="44" t="s">
        <v>266</v>
      </c>
      <c r="L88" s="42"/>
      <c r="M88" s="42"/>
      <c r="N88" s="42"/>
      <c r="O88" s="44" t="s">
        <v>271</v>
      </c>
      <c r="P88" s="76">
        <v>123.9</v>
      </c>
      <c r="Q88" s="76">
        <v>129.80000000000001</v>
      </c>
      <c r="R88" s="76"/>
      <c r="S88" s="76"/>
      <c r="T88" s="76"/>
      <c r="U88" s="60">
        <f t="shared" si="4"/>
        <v>253.70000000000002</v>
      </c>
      <c r="V88" s="36"/>
      <c r="X88" s="122" t="s">
        <v>268</v>
      </c>
    </row>
    <row r="89" spans="1:24" ht="16.5">
      <c r="A89" s="37" t="s">
        <v>469</v>
      </c>
      <c r="B89" s="137" t="s">
        <v>272</v>
      </c>
      <c r="C89" s="40" t="s">
        <v>264</v>
      </c>
      <c r="D89" s="68"/>
      <c r="E89" s="41">
        <v>2015</v>
      </c>
      <c r="F89" s="41">
        <v>2019</v>
      </c>
      <c r="G89" s="76">
        <v>122.72</v>
      </c>
      <c r="H89" s="78">
        <v>122.72</v>
      </c>
      <c r="I89" s="76"/>
      <c r="J89" s="42"/>
      <c r="K89" s="42"/>
      <c r="L89" s="42"/>
      <c r="M89" s="42"/>
      <c r="N89" s="42"/>
      <c r="O89" s="44"/>
      <c r="P89" s="76">
        <v>18.88</v>
      </c>
      <c r="Q89" s="76">
        <v>18.88</v>
      </c>
      <c r="R89" s="76">
        <v>28.32</v>
      </c>
      <c r="S89" s="76">
        <v>28.32</v>
      </c>
      <c r="T89" s="76">
        <v>28.32</v>
      </c>
      <c r="U89" s="60">
        <f t="shared" si="4"/>
        <v>122.72</v>
      </c>
      <c r="V89" s="36"/>
      <c r="X89" s="122" t="s">
        <v>272</v>
      </c>
    </row>
    <row r="90" spans="1:24" ht="33">
      <c r="A90" s="37" t="s">
        <v>470</v>
      </c>
      <c r="B90" s="137" t="s">
        <v>273</v>
      </c>
      <c r="C90" s="40" t="s">
        <v>264</v>
      </c>
      <c r="D90" s="44"/>
      <c r="E90" s="41">
        <v>2016</v>
      </c>
      <c r="F90" s="41">
        <v>2019</v>
      </c>
      <c r="G90" s="76">
        <v>70.8</v>
      </c>
      <c r="H90" s="78">
        <v>70.8</v>
      </c>
      <c r="I90" s="76"/>
      <c r="J90" s="42"/>
      <c r="K90" s="42"/>
      <c r="L90" s="42"/>
      <c r="M90" s="42"/>
      <c r="N90" s="42"/>
      <c r="O90" s="44"/>
      <c r="P90" s="76"/>
      <c r="Q90" s="76">
        <v>17.7</v>
      </c>
      <c r="R90" s="76">
        <v>17.7</v>
      </c>
      <c r="S90" s="76">
        <v>17.7</v>
      </c>
      <c r="T90" s="76">
        <v>17.7</v>
      </c>
      <c r="U90" s="60">
        <f t="shared" si="4"/>
        <v>70.8</v>
      </c>
      <c r="V90" s="36"/>
      <c r="X90" s="122" t="s">
        <v>273</v>
      </c>
    </row>
    <row r="91" spans="1:24" ht="33">
      <c r="A91" s="37" t="s">
        <v>471</v>
      </c>
      <c r="B91" s="137" t="s">
        <v>274</v>
      </c>
      <c r="C91" s="40" t="s">
        <v>264</v>
      </c>
      <c r="D91" s="68"/>
      <c r="E91" s="41">
        <v>2015</v>
      </c>
      <c r="F91" s="41">
        <v>2019</v>
      </c>
      <c r="G91" s="76">
        <v>29.5</v>
      </c>
      <c r="H91" s="78">
        <v>29.5</v>
      </c>
      <c r="I91" s="76"/>
      <c r="J91" s="42"/>
      <c r="K91" s="42"/>
      <c r="L91" s="42"/>
      <c r="M91" s="42"/>
      <c r="N91" s="42"/>
      <c r="O91" s="44"/>
      <c r="P91" s="76">
        <v>5.9</v>
      </c>
      <c r="Q91" s="76">
        <v>5.9</v>
      </c>
      <c r="R91" s="76">
        <v>5.9</v>
      </c>
      <c r="S91" s="76">
        <v>5.9</v>
      </c>
      <c r="T91" s="76">
        <v>5.9</v>
      </c>
      <c r="U91" s="60">
        <f t="shared" si="4"/>
        <v>29.5</v>
      </c>
      <c r="V91" s="36"/>
      <c r="X91" s="122" t="s">
        <v>274</v>
      </c>
    </row>
    <row r="92" spans="1:24" ht="16.5">
      <c r="A92" s="37" t="s">
        <v>472</v>
      </c>
      <c r="B92" s="137" t="s">
        <v>275</v>
      </c>
      <c r="C92" s="40" t="s">
        <v>264</v>
      </c>
      <c r="D92" s="68"/>
      <c r="E92" s="41">
        <v>2015</v>
      </c>
      <c r="F92" s="41">
        <v>2019</v>
      </c>
      <c r="G92" s="76">
        <v>56.64</v>
      </c>
      <c r="H92" s="78">
        <v>56.64</v>
      </c>
      <c r="I92" s="76"/>
      <c r="J92" s="42"/>
      <c r="K92" s="42"/>
      <c r="L92" s="42"/>
      <c r="M92" s="42"/>
      <c r="N92" s="42"/>
      <c r="O92" s="44"/>
      <c r="P92" s="76">
        <v>9.44</v>
      </c>
      <c r="Q92" s="76">
        <v>11.8</v>
      </c>
      <c r="R92" s="76">
        <v>11.8</v>
      </c>
      <c r="S92" s="76">
        <v>11.8</v>
      </c>
      <c r="T92" s="76">
        <v>11.8</v>
      </c>
      <c r="U92" s="60">
        <f t="shared" si="4"/>
        <v>56.64</v>
      </c>
      <c r="V92" s="36"/>
      <c r="X92" s="122" t="s">
        <v>275</v>
      </c>
    </row>
    <row r="93" spans="1:24" ht="33">
      <c r="A93" s="37" t="s">
        <v>473</v>
      </c>
      <c r="B93" s="137" t="s">
        <v>276</v>
      </c>
      <c r="C93" s="40" t="s">
        <v>264</v>
      </c>
      <c r="D93" s="68"/>
      <c r="E93" s="41">
        <v>2016</v>
      </c>
      <c r="F93" s="41">
        <v>2019</v>
      </c>
      <c r="G93" s="76">
        <v>94.4</v>
      </c>
      <c r="H93" s="78">
        <v>94.4</v>
      </c>
      <c r="I93" s="76"/>
      <c r="J93" s="42"/>
      <c r="K93" s="42"/>
      <c r="L93" s="42"/>
      <c r="M93" s="42"/>
      <c r="N93" s="42"/>
      <c r="O93" s="44"/>
      <c r="P93" s="76"/>
      <c r="Q93" s="76">
        <v>17.7</v>
      </c>
      <c r="R93" s="76">
        <v>21.24</v>
      </c>
      <c r="S93" s="58">
        <v>20.059999999999999</v>
      </c>
      <c r="T93" s="58">
        <v>35.4</v>
      </c>
      <c r="U93" s="60">
        <f t="shared" si="4"/>
        <v>94.4</v>
      </c>
      <c r="V93" s="36"/>
      <c r="X93" s="122" t="s">
        <v>276</v>
      </c>
    </row>
    <row r="94" spans="1:24" ht="16.5">
      <c r="A94" s="37" t="s">
        <v>474</v>
      </c>
      <c r="B94" s="137" t="s">
        <v>277</v>
      </c>
      <c r="C94" s="34" t="s">
        <v>238</v>
      </c>
      <c r="D94" s="68"/>
      <c r="E94" s="41">
        <v>2015</v>
      </c>
      <c r="F94" s="41">
        <v>2020</v>
      </c>
      <c r="G94" s="76">
        <v>354</v>
      </c>
      <c r="H94" s="78">
        <v>354</v>
      </c>
      <c r="I94" s="76"/>
      <c r="J94" s="42"/>
      <c r="K94" s="42"/>
      <c r="L94" s="42"/>
      <c r="M94" s="42"/>
      <c r="N94" s="42"/>
      <c r="O94" s="44"/>
      <c r="P94" s="76">
        <v>14.16</v>
      </c>
      <c r="Q94" s="76">
        <v>35.4</v>
      </c>
      <c r="R94" s="76">
        <v>47.2</v>
      </c>
      <c r="S94" s="76">
        <v>118</v>
      </c>
      <c r="T94" s="76">
        <v>118</v>
      </c>
      <c r="U94" s="60">
        <f t="shared" si="4"/>
        <v>332.76</v>
      </c>
      <c r="V94" s="36"/>
      <c r="X94" s="122" t="s">
        <v>277</v>
      </c>
    </row>
    <row r="95" spans="1:24" ht="33">
      <c r="A95" s="37" t="s">
        <v>475</v>
      </c>
      <c r="B95" s="137" t="s">
        <v>278</v>
      </c>
      <c r="C95" s="40" t="s">
        <v>264</v>
      </c>
      <c r="D95" s="68"/>
      <c r="E95" s="41">
        <v>2015</v>
      </c>
      <c r="F95" s="41">
        <v>2019</v>
      </c>
      <c r="G95" s="76">
        <v>11.8</v>
      </c>
      <c r="H95" s="78">
        <v>11.8</v>
      </c>
      <c r="I95" s="76"/>
      <c r="J95" s="42"/>
      <c r="K95" s="42"/>
      <c r="L95" s="42"/>
      <c r="M95" s="42"/>
      <c r="N95" s="42"/>
      <c r="O95" s="44"/>
      <c r="P95" s="76">
        <v>2.36</v>
      </c>
      <c r="Q95" s="76">
        <v>2.36</v>
      </c>
      <c r="R95" s="76">
        <v>2.36</v>
      </c>
      <c r="S95" s="76">
        <v>2.36</v>
      </c>
      <c r="T95" s="76">
        <v>2.36</v>
      </c>
      <c r="U95" s="60">
        <f t="shared" si="4"/>
        <v>11.799999999999999</v>
      </c>
      <c r="V95" s="36"/>
      <c r="X95" s="122" t="s">
        <v>278</v>
      </c>
    </row>
    <row r="96" spans="1:24" ht="33">
      <c r="A96" s="37" t="s">
        <v>476</v>
      </c>
      <c r="B96" s="137" t="s">
        <v>279</v>
      </c>
      <c r="C96" s="40" t="s">
        <v>264</v>
      </c>
      <c r="D96" s="44" t="s">
        <v>280</v>
      </c>
      <c r="E96" s="41">
        <v>2017</v>
      </c>
      <c r="F96" s="41">
        <v>2017</v>
      </c>
      <c r="G96" s="78">
        <v>36.5</v>
      </c>
      <c r="H96" s="78">
        <v>36.5</v>
      </c>
      <c r="I96" s="76"/>
      <c r="J96" s="42"/>
      <c r="K96" s="42"/>
      <c r="L96" s="44" t="s">
        <v>280</v>
      </c>
      <c r="M96" s="42"/>
      <c r="N96" s="42"/>
      <c r="O96" s="44" t="s">
        <v>280</v>
      </c>
      <c r="P96" s="76"/>
      <c r="Q96" s="76"/>
      <c r="R96" s="76">
        <v>36.5</v>
      </c>
      <c r="S96" s="74"/>
      <c r="T96" s="74"/>
      <c r="U96" s="60">
        <f t="shared" si="4"/>
        <v>36.5</v>
      </c>
      <c r="V96" s="36"/>
      <c r="X96" s="122" t="s">
        <v>279</v>
      </c>
    </row>
    <row r="97" spans="1:24" ht="33">
      <c r="A97" s="37" t="s">
        <v>477</v>
      </c>
      <c r="B97" s="137" t="s">
        <v>281</v>
      </c>
      <c r="C97" s="40" t="s">
        <v>264</v>
      </c>
      <c r="D97" s="40" t="s">
        <v>282</v>
      </c>
      <c r="E97" s="41">
        <v>2013</v>
      </c>
      <c r="F97" s="41">
        <v>2017</v>
      </c>
      <c r="G97" s="79">
        <v>308.3</v>
      </c>
      <c r="H97" s="76">
        <v>236</v>
      </c>
      <c r="I97" s="76">
        <v>59</v>
      </c>
      <c r="J97" s="42"/>
      <c r="K97" s="44" t="s">
        <v>283</v>
      </c>
      <c r="L97" s="44" t="s">
        <v>283</v>
      </c>
      <c r="M97" s="42"/>
      <c r="N97" s="42"/>
      <c r="O97" s="40" t="s">
        <v>282</v>
      </c>
      <c r="P97" s="76">
        <v>94.4</v>
      </c>
      <c r="Q97" s="76">
        <v>94.4</v>
      </c>
      <c r="R97" s="76">
        <v>47.2</v>
      </c>
      <c r="S97" s="74"/>
      <c r="T97" s="74"/>
      <c r="U97" s="60">
        <f t="shared" si="4"/>
        <v>236</v>
      </c>
      <c r="V97" s="36"/>
      <c r="X97" s="122" t="s">
        <v>281</v>
      </c>
    </row>
    <row r="98" spans="1:24" ht="49.5">
      <c r="A98" s="37" t="s">
        <v>478</v>
      </c>
      <c r="B98" s="137" t="s">
        <v>284</v>
      </c>
      <c r="C98" s="40" t="s">
        <v>264</v>
      </c>
      <c r="D98" s="46"/>
      <c r="E98" s="47">
        <v>2012</v>
      </c>
      <c r="F98" s="47">
        <v>2015</v>
      </c>
      <c r="G98" s="79">
        <v>226.3</v>
      </c>
      <c r="H98" s="80">
        <v>59</v>
      </c>
      <c r="I98" s="79">
        <v>47.2</v>
      </c>
      <c r="J98" s="42"/>
      <c r="K98" s="42"/>
      <c r="L98" s="42"/>
      <c r="M98" s="42"/>
      <c r="N98" s="42"/>
      <c r="O98" s="42"/>
      <c r="P98" s="76">
        <v>59</v>
      </c>
      <c r="Q98" s="76"/>
      <c r="R98" s="76"/>
      <c r="S98" s="76"/>
      <c r="T98" s="76"/>
      <c r="U98" s="60">
        <f t="shared" si="4"/>
        <v>59</v>
      </c>
      <c r="V98" s="36"/>
      <c r="X98" s="122" t="s">
        <v>284</v>
      </c>
    </row>
    <row r="99" spans="1:24" ht="33">
      <c r="A99" s="37" t="s">
        <v>479</v>
      </c>
      <c r="B99" s="137" t="s">
        <v>285</v>
      </c>
      <c r="C99" s="34" t="s">
        <v>238</v>
      </c>
      <c r="D99" s="42"/>
      <c r="E99" s="41">
        <v>2017</v>
      </c>
      <c r="F99" s="41">
        <v>2017</v>
      </c>
      <c r="G99" s="76">
        <v>35.4</v>
      </c>
      <c r="H99" s="78">
        <v>35.4</v>
      </c>
      <c r="I99" s="76"/>
      <c r="J99" s="42"/>
      <c r="K99" s="42"/>
      <c r="L99" s="42"/>
      <c r="M99" s="42"/>
      <c r="N99" s="42"/>
      <c r="O99" s="42"/>
      <c r="P99" s="76"/>
      <c r="Q99" s="76"/>
      <c r="R99" s="76">
        <v>35.4</v>
      </c>
      <c r="S99" s="74"/>
      <c r="T99" s="74"/>
      <c r="U99" s="60">
        <f t="shared" si="4"/>
        <v>35.4</v>
      </c>
      <c r="V99" s="36"/>
      <c r="X99" s="122" t="s">
        <v>285</v>
      </c>
    </row>
    <row r="100" spans="1:24" ht="33">
      <c r="A100" s="37" t="s">
        <v>480</v>
      </c>
      <c r="B100" s="137" t="s">
        <v>286</v>
      </c>
      <c r="C100" s="34" t="s">
        <v>238</v>
      </c>
      <c r="D100" s="40" t="s">
        <v>287</v>
      </c>
      <c r="E100" s="41">
        <v>2013</v>
      </c>
      <c r="F100" s="41">
        <v>2016</v>
      </c>
      <c r="G100" s="76">
        <v>30.7</v>
      </c>
      <c r="H100" s="78">
        <v>23.6</v>
      </c>
      <c r="I100" s="76">
        <v>7.1</v>
      </c>
      <c r="J100" s="44" t="s">
        <v>287</v>
      </c>
      <c r="K100" s="42"/>
      <c r="L100" s="42"/>
      <c r="M100" s="42"/>
      <c r="N100" s="42"/>
      <c r="O100" s="44" t="s">
        <v>287</v>
      </c>
      <c r="P100" s="76">
        <v>11.8</v>
      </c>
      <c r="Q100" s="76">
        <v>11.8</v>
      </c>
      <c r="R100" s="76"/>
      <c r="S100" s="74"/>
      <c r="T100" s="74"/>
      <c r="U100" s="60">
        <f t="shared" si="4"/>
        <v>23.6</v>
      </c>
      <c r="V100" s="36"/>
      <c r="X100" s="122" t="s">
        <v>286</v>
      </c>
    </row>
    <row r="101" spans="1:24" ht="33">
      <c r="A101" s="37" t="s">
        <v>481</v>
      </c>
      <c r="B101" s="137" t="s">
        <v>288</v>
      </c>
      <c r="C101" s="40" t="s">
        <v>85</v>
      </c>
      <c r="D101" s="42"/>
      <c r="E101" s="41">
        <v>2016</v>
      </c>
      <c r="F101" s="41">
        <v>2016</v>
      </c>
      <c r="G101" s="76">
        <v>23.6</v>
      </c>
      <c r="H101" s="78">
        <v>23.6</v>
      </c>
      <c r="I101" s="76"/>
      <c r="J101" s="42"/>
      <c r="K101" s="42"/>
      <c r="L101" s="42"/>
      <c r="M101" s="42"/>
      <c r="N101" s="42"/>
      <c r="O101" s="44"/>
      <c r="P101" s="76"/>
      <c r="Q101" s="76">
        <v>23.6</v>
      </c>
      <c r="R101" s="76"/>
      <c r="S101" s="76"/>
      <c r="T101" s="76"/>
      <c r="U101" s="60">
        <f t="shared" si="4"/>
        <v>23.6</v>
      </c>
      <c r="V101" s="36"/>
      <c r="X101" s="122" t="s">
        <v>288</v>
      </c>
    </row>
    <row r="102" spans="1:24" ht="33">
      <c r="A102" s="37" t="s">
        <v>482</v>
      </c>
      <c r="B102" s="137" t="s">
        <v>289</v>
      </c>
      <c r="C102" s="40" t="s">
        <v>85</v>
      </c>
      <c r="D102" s="48"/>
      <c r="E102" s="41">
        <v>2011</v>
      </c>
      <c r="F102" s="41">
        <v>2015</v>
      </c>
      <c r="G102" s="76">
        <v>507.4</v>
      </c>
      <c r="H102" s="78">
        <v>59</v>
      </c>
      <c r="I102" s="76">
        <v>41.3</v>
      </c>
      <c r="J102" s="42"/>
      <c r="K102" s="42"/>
      <c r="L102" s="42"/>
      <c r="M102" s="42"/>
      <c r="N102" s="42"/>
      <c r="O102" s="44"/>
      <c r="P102" s="76">
        <v>59</v>
      </c>
      <c r="Q102" s="76"/>
      <c r="R102" s="76"/>
      <c r="S102" s="74"/>
      <c r="T102" s="74"/>
      <c r="U102" s="60">
        <f t="shared" si="4"/>
        <v>59</v>
      </c>
      <c r="V102" s="36"/>
      <c r="X102" s="122" t="s">
        <v>289</v>
      </c>
    </row>
    <row r="103" spans="1:24" ht="33">
      <c r="A103" s="37" t="s">
        <v>483</v>
      </c>
      <c r="B103" s="137" t="s">
        <v>290</v>
      </c>
      <c r="C103" s="34" t="s">
        <v>238</v>
      </c>
      <c r="D103" s="48"/>
      <c r="E103" s="41">
        <v>2015</v>
      </c>
      <c r="F103" s="41">
        <v>2018</v>
      </c>
      <c r="G103" s="76">
        <v>177</v>
      </c>
      <c r="H103" s="78">
        <v>177</v>
      </c>
      <c r="I103" s="76"/>
      <c r="J103" s="42"/>
      <c r="K103" s="42"/>
      <c r="L103" s="42"/>
      <c r="M103" s="42"/>
      <c r="N103" s="42"/>
      <c r="O103" s="44"/>
      <c r="P103" s="76">
        <v>11.8</v>
      </c>
      <c r="Q103" s="76">
        <v>47.2</v>
      </c>
      <c r="R103" s="76">
        <v>59</v>
      </c>
      <c r="S103" s="58">
        <v>59</v>
      </c>
      <c r="T103" s="74"/>
      <c r="U103" s="60">
        <f t="shared" si="4"/>
        <v>177</v>
      </c>
      <c r="V103" s="36"/>
      <c r="X103" s="122" t="s">
        <v>290</v>
      </c>
    </row>
    <row r="104" spans="1:24" ht="82.5">
      <c r="A104" s="37" t="s">
        <v>484</v>
      </c>
      <c r="B104" s="137" t="s">
        <v>291</v>
      </c>
      <c r="C104" s="40" t="s">
        <v>85</v>
      </c>
      <c r="D104" s="48"/>
      <c r="E104" s="41">
        <v>2014</v>
      </c>
      <c r="F104" s="41">
        <v>2016</v>
      </c>
      <c r="G104" s="76">
        <v>47.2</v>
      </c>
      <c r="H104" s="78">
        <v>41.3</v>
      </c>
      <c r="I104" s="76">
        <v>5.9</v>
      </c>
      <c r="J104" s="42"/>
      <c r="K104" s="42"/>
      <c r="L104" s="42"/>
      <c r="M104" s="42"/>
      <c r="N104" s="42"/>
      <c r="O104" s="44"/>
      <c r="P104" s="76">
        <v>23.6</v>
      </c>
      <c r="Q104" s="76">
        <v>17.7</v>
      </c>
      <c r="R104" s="76"/>
      <c r="S104" s="76"/>
      <c r="T104" s="76"/>
      <c r="U104" s="60">
        <f t="shared" si="4"/>
        <v>41.3</v>
      </c>
      <c r="V104" s="36"/>
      <c r="X104" s="122" t="s">
        <v>291</v>
      </c>
    </row>
    <row r="105" spans="1:24" ht="66">
      <c r="A105" s="37" t="s">
        <v>485</v>
      </c>
      <c r="B105" s="137" t="s">
        <v>292</v>
      </c>
      <c r="C105" s="40" t="s">
        <v>85</v>
      </c>
      <c r="D105" s="40" t="s">
        <v>293</v>
      </c>
      <c r="E105" s="41">
        <v>2011</v>
      </c>
      <c r="F105" s="41">
        <v>2016</v>
      </c>
      <c r="G105" s="76">
        <v>212.4</v>
      </c>
      <c r="H105" s="78">
        <v>118</v>
      </c>
      <c r="I105" s="76">
        <v>47.2</v>
      </c>
      <c r="J105" s="44" t="s">
        <v>138</v>
      </c>
      <c r="K105" s="44" t="s">
        <v>138</v>
      </c>
      <c r="L105" s="42"/>
      <c r="M105" s="42"/>
      <c r="N105" s="42"/>
      <c r="O105" s="44" t="s">
        <v>294</v>
      </c>
      <c r="P105" s="76">
        <v>59</v>
      </c>
      <c r="Q105" s="76">
        <v>59</v>
      </c>
      <c r="R105" s="76"/>
      <c r="S105" s="74"/>
      <c r="T105" s="74"/>
      <c r="U105" s="60">
        <f t="shared" si="4"/>
        <v>118</v>
      </c>
      <c r="V105" s="36"/>
      <c r="X105" s="122" t="s">
        <v>292</v>
      </c>
    </row>
    <row r="106" spans="1:24" ht="33">
      <c r="A106" s="37" t="s">
        <v>486</v>
      </c>
      <c r="B106" s="137" t="s">
        <v>295</v>
      </c>
      <c r="C106" s="34" t="s">
        <v>238</v>
      </c>
      <c r="D106" s="68"/>
      <c r="E106" s="41">
        <v>2017</v>
      </c>
      <c r="F106" s="41">
        <v>2017</v>
      </c>
      <c r="G106" s="76">
        <v>35.4</v>
      </c>
      <c r="H106" s="78">
        <v>35.4</v>
      </c>
      <c r="I106" s="76"/>
      <c r="J106" s="42"/>
      <c r="K106" s="42"/>
      <c r="L106" s="42"/>
      <c r="M106" s="42"/>
      <c r="N106" s="42"/>
      <c r="O106" s="44"/>
      <c r="P106" s="76"/>
      <c r="Q106" s="76"/>
      <c r="R106" s="76">
        <v>35.4</v>
      </c>
      <c r="S106" s="74"/>
      <c r="T106" s="74"/>
      <c r="U106" s="60">
        <f t="shared" si="4"/>
        <v>35.4</v>
      </c>
      <c r="V106" s="36"/>
      <c r="X106" s="122" t="s">
        <v>295</v>
      </c>
    </row>
    <row r="107" spans="1:24" ht="33">
      <c r="A107" s="37" t="s">
        <v>487</v>
      </c>
      <c r="B107" s="137" t="s">
        <v>296</v>
      </c>
      <c r="C107" s="34" t="s">
        <v>238</v>
      </c>
      <c r="D107" s="44" t="s">
        <v>297</v>
      </c>
      <c r="E107" s="41">
        <v>2017</v>
      </c>
      <c r="F107" s="41">
        <v>2020</v>
      </c>
      <c r="G107" s="76">
        <v>376.4</v>
      </c>
      <c r="H107" s="78">
        <v>376.4</v>
      </c>
      <c r="I107" s="76"/>
      <c r="J107" s="42"/>
      <c r="K107" s="42"/>
      <c r="L107" s="42"/>
      <c r="M107" s="44" t="s">
        <v>297</v>
      </c>
      <c r="N107" s="42"/>
      <c r="O107" s="44" t="s">
        <v>297</v>
      </c>
      <c r="P107" s="76"/>
      <c r="Q107" s="76"/>
      <c r="R107" s="76">
        <v>118</v>
      </c>
      <c r="S107" s="58">
        <v>94.4</v>
      </c>
      <c r="T107" s="58">
        <v>59</v>
      </c>
      <c r="U107" s="60">
        <f t="shared" si="4"/>
        <v>271.39999999999998</v>
      </c>
      <c r="V107" s="36"/>
      <c r="X107" s="122" t="s">
        <v>296</v>
      </c>
    </row>
    <row r="108" spans="1:24" ht="33">
      <c r="A108" s="37" t="s">
        <v>488</v>
      </c>
      <c r="B108" s="137" t="s">
        <v>298</v>
      </c>
      <c r="C108" s="34" t="s">
        <v>238</v>
      </c>
      <c r="D108" s="48"/>
      <c r="E108" s="41">
        <v>2012</v>
      </c>
      <c r="F108" s="41">
        <v>2015</v>
      </c>
      <c r="G108" s="76">
        <v>65.099999999999994</v>
      </c>
      <c r="H108" s="78">
        <v>23.6</v>
      </c>
      <c r="I108" s="76"/>
      <c r="J108" s="42"/>
      <c r="K108" s="42"/>
      <c r="L108" s="42"/>
      <c r="M108" s="42"/>
      <c r="N108" s="42"/>
      <c r="O108" s="44"/>
      <c r="P108" s="76">
        <v>23.6</v>
      </c>
      <c r="Q108" s="76"/>
      <c r="R108" s="76"/>
      <c r="S108" s="76"/>
      <c r="T108" s="76"/>
      <c r="U108" s="60">
        <f t="shared" si="4"/>
        <v>23.6</v>
      </c>
      <c r="V108" s="36"/>
      <c r="X108" s="122" t="s">
        <v>298</v>
      </c>
    </row>
    <row r="109" spans="1:24" ht="33">
      <c r="A109" s="37" t="s">
        <v>489</v>
      </c>
      <c r="B109" s="137" t="s">
        <v>299</v>
      </c>
      <c r="C109" s="34" t="s">
        <v>238</v>
      </c>
      <c r="D109" s="48"/>
      <c r="E109" s="41">
        <v>2015</v>
      </c>
      <c r="F109" s="41">
        <v>2019</v>
      </c>
      <c r="G109" s="76">
        <v>84.96</v>
      </c>
      <c r="H109" s="78">
        <v>84.96</v>
      </c>
      <c r="I109" s="76"/>
      <c r="J109" s="42"/>
      <c r="K109" s="42"/>
      <c r="L109" s="42"/>
      <c r="M109" s="42"/>
      <c r="N109" s="42"/>
      <c r="O109" s="44"/>
      <c r="P109" s="76">
        <v>9.44</v>
      </c>
      <c r="Q109" s="76">
        <v>18.88</v>
      </c>
      <c r="R109" s="76">
        <v>16.52</v>
      </c>
      <c r="S109" s="57">
        <v>16.52</v>
      </c>
      <c r="T109" s="57">
        <v>23.6</v>
      </c>
      <c r="U109" s="60">
        <f t="shared" si="4"/>
        <v>84.960000000000008</v>
      </c>
      <c r="V109" s="36"/>
      <c r="X109" s="122" t="s">
        <v>299</v>
      </c>
    </row>
    <row r="110" spans="1:24" ht="33">
      <c r="A110" s="37" t="s">
        <v>490</v>
      </c>
      <c r="B110" s="137" t="s">
        <v>700</v>
      </c>
      <c r="C110" s="40" t="s">
        <v>85</v>
      </c>
      <c r="D110" s="40" t="s">
        <v>138</v>
      </c>
      <c r="E110" s="41">
        <v>2015</v>
      </c>
      <c r="F110" s="41">
        <v>2019</v>
      </c>
      <c r="G110" s="76">
        <v>119.18</v>
      </c>
      <c r="H110" s="78">
        <v>119.18</v>
      </c>
      <c r="I110" s="76"/>
      <c r="J110" s="44" t="s">
        <v>300</v>
      </c>
      <c r="K110" s="44" t="s">
        <v>300</v>
      </c>
      <c r="L110" s="44" t="s">
        <v>300</v>
      </c>
      <c r="M110" s="44" t="s">
        <v>300</v>
      </c>
      <c r="N110" s="44" t="s">
        <v>300</v>
      </c>
      <c r="O110" s="44" t="s">
        <v>138</v>
      </c>
      <c r="P110" s="76">
        <v>9.44</v>
      </c>
      <c r="Q110" s="76">
        <v>21.24</v>
      </c>
      <c r="R110" s="76">
        <v>34.22</v>
      </c>
      <c r="S110" s="58">
        <v>18.88</v>
      </c>
      <c r="T110" s="58">
        <v>35.4</v>
      </c>
      <c r="U110" s="60">
        <f t="shared" si="4"/>
        <v>119.18</v>
      </c>
      <c r="V110" s="36"/>
      <c r="X110" s="122" t="s">
        <v>700</v>
      </c>
    </row>
    <row r="111" spans="1:24" ht="33">
      <c r="A111" s="37" t="s">
        <v>491</v>
      </c>
      <c r="B111" s="137" t="s">
        <v>303</v>
      </c>
      <c r="C111" s="40" t="s">
        <v>85</v>
      </c>
      <c r="D111" s="48"/>
      <c r="E111" s="41">
        <v>2015</v>
      </c>
      <c r="F111" s="41">
        <v>2015</v>
      </c>
      <c r="G111" s="76">
        <v>3.54</v>
      </c>
      <c r="H111" s="78">
        <v>3.54</v>
      </c>
      <c r="I111" s="76"/>
      <c r="J111" s="42"/>
      <c r="K111" s="42"/>
      <c r="L111" s="42"/>
      <c r="M111" s="42"/>
      <c r="N111" s="42"/>
      <c r="O111" s="44"/>
      <c r="P111" s="76">
        <v>3.54</v>
      </c>
      <c r="Q111" s="76"/>
      <c r="R111" s="76"/>
      <c r="S111" s="58"/>
      <c r="T111" s="58"/>
      <c r="U111" s="60">
        <f t="shared" si="4"/>
        <v>3.54</v>
      </c>
      <c r="V111" s="36"/>
      <c r="X111" s="122" t="s">
        <v>303</v>
      </c>
    </row>
    <row r="112" spans="1:24" ht="33">
      <c r="A112" s="37" t="s">
        <v>492</v>
      </c>
      <c r="B112" s="139" t="s">
        <v>304</v>
      </c>
      <c r="C112" s="40" t="s">
        <v>85</v>
      </c>
      <c r="D112" s="68" t="s">
        <v>294</v>
      </c>
      <c r="E112" s="41">
        <v>2015</v>
      </c>
      <c r="F112" s="41">
        <v>2019</v>
      </c>
      <c r="G112" s="76">
        <v>177</v>
      </c>
      <c r="H112" s="78">
        <v>177</v>
      </c>
      <c r="I112" s="76"/>
      <c r="J112" s="44" t="s">
        <v>305</v>
      </c>
      <c r="K112" s="44" t="s">
        <v>305</v>
      </c>
      <c r="L112" s="44" t="s">
        <v>305</v>
      </c>
      <c r="M112" s="44" t="s">
        <v>305</v>
      </c>
      <c r="N112" s="44" t="s">
        <v>305</v>
      </c>
      <c r="O112" s="44" t="s">
        <v>294</v>
      </c>
      <c r="P112" s="76">
        <v>35.4</v>
      </c>
      <c r="Q112" s="76">
        <v>35.4</v>
      </c>
      <c r="R112" s="76">
        <v>35.4</v>
      </c>
      <c r="S112" s="76">
        <v>35.4</v>
      </c>
      <c r="T112" s="76">
        <v>35.4</v>
      </c>
      <c r="U112" s="60">
        <f t="shared" si="4"/>
        <v>177</v>
      </c>
      <c r="V112" s="36"/>
      <c r="X112" s="122" t="s">
        <v>304</v>
      </c>
    </row>
    <row r="113" spans="1:24" ht="16.5">
      <c r="A113" s="37" t="s">
        <v>493</v>
      </c>
      <c r="B113" s="137" t="s">
        <v>306</v>
      </c>
      <c r="C113" s="34" t="s">
        <v>238</v>
      </c>
      <c r="D113" s="44" t="s">
        <v>307</v>
      </c>
      <c r="E113" s="41">
        <v>2019</v>
      </c>
      <c r="F113" s="41">
        <v>2020</v>
      </c>
      <c r="G113" s="76">
        <v>377.6</v>
      </c>
      <c r="H113" s="78">
        <v>377.6</v>
      </c>
      <c r="I113" s="76"/>
      <c r="J113" s="42"/>
      <c r="K113" s="42"/>
      <c r="L113" s="42"/>
      <c r="M113" s="42"/>
      <c r="N113" s="44" t="s">
        <v>308</v>
      </c>
      <c r="O113" s="44" t="s">
        <v>308</v>
      </c>
      <c r="P113" s="76"/>
      <c r="Q113" s="76"/>
      <c r="R113" s="76"/>
      <c r="S113" s="58"/>
      <c r="T113" s="58">
        <v>188.8</v>
      </c>
      <c r="U113" s="60">
        <f t="shared" si="4"/>
        <v>188.8</v>
      </c>
      <c r="V113" s="36"/>
      <c r="X113" s="122" t="s">
        <v>306</v>
      </c>
    </row>
    <row r="114" spans="1:24" ht="33">
      <c r="A114" s="37" t="s">
        <v>494</v>
      </c>
      <c r="B114" s="137" t="s">
        <v>309</v>
      </c>
      <c r="C114" s="34" t="s">
        <v>238</v>
      </c>
      <c r="D114" s="44" t="s">
        <v>310</v>
      </c>
      <c r="E114" s="41">
        <v>2018</v>
      </c>
      <c r="F114" s="41">
        <v>2022</v>
      </c>
      <c r="G114" s="76">
        <v>118</v>
      </c>
      <c r="H114" s="78">
        <v>118</v>
      </c>
      <c r="I114" s="76"/>
      <c r="J114" s="42"/>
      <c r="K114" s="42"/>
      <c r="L114" s="42"/>
      <c r="M114" s="42"/>
      <c r="N114" s="44" t="s">
        <v>138</v>
      </c>
      <c r="O114" s="44" t="s">
        <v>138</v>
      </c>
      <c r="P114" s="76"/>
      <c r="Q114" s="76"/>
      <c r="R114" s="76"/>
      <c r="S114" s="58">
        <v>11.8</v>
      </c>
      <c r="T114" s="58">
        <v>47.2</v>
      </c>
      <c r="U114" s="60">
        <f t="shared" si="4"/>
        <v>59</v>
      </c>
      <c r="V114" s="36"/>
      <c r="X114" s="122" t="s">
        <v>309</v>
      </c>
    </row>
    <row r="115" spans="1:24" ht="33">
      <c r="A115" s="37" t="s">
        <v>495</v>
      </c>
      <c r="B115" s="137" t="s">
        <v>311</v>
      </c>
      <c r="C115" s="34" t="s">
        <v>238</v>
      </c>
      <c r="D115" s="48"/>
      <c r="E115" s="41">
        <v>2019</v>
      </c>
      <c r="F115" s="41">
        <v>2022</v>
      </c>
      <c r="G115" s="76">
        <v>450</v>
      </c>
      <c r="H115" s="76">
        <v>450</v>
      </c>
      <c r="I115" s="76"/>
      <c r="J115" s="42"/>
      <c r="K115" s="42"/>
      <c r="L115" s="42"/>
      <c r="M115" s="42"/>
      <c r="N115" s="42"/>
      <c r="O115" s="42"/>
      <c r="P115" s="76"/>
      <c r="Q115" s="76"/>
      <c r="R115" s="76"/>
      <c r="S115" s="58"/>
      <c r="T115" s="58">
        <v>312.7</v>
      </c>
      <c r="U115" s="60">
        <f t="shared" si="4"/>
        <v>312.7</v>
      </c>
      <c r="V115" s="36"/>
      <c r="X115" s="122" t="s">
        <v>311</v>
      </c>
    </row>
    <row r="116" spans="1:24" ht="33">
      <c r="A116" s="37" t="s">
        <v>496</v>
      </c>
      <c r="B116" s="137" t="s">
        <v>312</v>
      </c>
      <c r="C116" s="34" t="s">
        <v>238</v>
      </c>
      <c r="D116" s="68" t="s">
        <v>307</v>
      </c>
      <c r="E116" s="41">
        <v>2019</v>
      </c>
      <c r="F116" s="41">
        <v>2022</v>
      </c>
      <c r="G116" s="76">
        <v>320</v>
      </c>
      <c r="H116" s="78">
        <v>320</v>
      </c>
      <c r="I116" s="76"/>
      <c r="J116" s="42"/>
      <c r="K116" s="42"/>
      <c r="L116" s="42"/>
      <c r="M116" s="42"/>
      <c r="N116" s="44" t="s">
        <v>308</v>
      </c>
      <c r="O116" s="44" t="s">
        <v>308</v>
      </c>
      <c r="P116" s="76"/>
      <c r="Q116" s="76"/>
      <c r="R116" s="76"/>
      <c r="S116" s="58"/>
      <c r="T116" s="58">
        <v>177</v>
      </c>
      <c r="U116" s="60">
        <f t="shared" si="4"/>
        <v>177</v>
      </c>
      <c r="V116" s="36"/>
      <c r="X116" s="122" t="s">
        <v>312</v>
      </c>
    </row>
    <row r="117" spans="1:24" ht="33">
      <c r="A117" s="37" t="s">
        <v>497</v>
      </c>
      <c r="B117" s="137" t="s">
        <v>313</v>
      </c>
      <c r="C117" s="34" t="s">
        <v>238</v>
      </c>
      <c r="D117" s="48"/>
      <c r="E117" s="41">
        <v>2018</v>
      </c>
      <c r="F117" s="41">
        <v>2020</v>
      </c>
      <c r="G117" s="76">
        <v>141.6</v>
      </c>
      <c r="H117" s="78">
        <v>141.6</v>
      </c>
      <c r="I117" s="76"/>
      <c r="J117" s="42"/>
      <c r="K117" s="42"/>
      <c r="L117" s="42"/>
      <c r="M117" s="42"/>
      <c r="N117" s="42"/>
      <c r="O117" s="42"/>
      <c r="P117" s="76"/>
      <c r="Q117" s="76"/>
      <c r="R117" s="76"/>
      <c r="S117" s="58">
        <v>35.4</v>
      </c>
      <c r="T117" s="58">
        <v>35.4</v>
      </c>
      <c r="U117" s="60">
        <f t="shared" si="4"/>
        <v>70.8</v>
      </c>
      <c r="V117" s="36"/>
      <c r="X117" s="122" t="s">
        <v>313</v>
      </c>
    </row>
    <row r="118" spans="1:24" ht="33">
      <c r="A118" s="37" t="s">
        <v>498</v>
      </c>
      <c r="B118" s="137" t="s">
        <v>314</v>
      </c>
      <c r="C118" s="34" t="s">
        <v>238</v>
      </c>
      <c r="D118" s="48"/>
      <c r="E118" s="41">
        <v>2019</v>
      </c>
      <c r="F118" s="41">
        <v>2022</v>
      </c>
      <c r="G118" s="76">
        <v>300</v>
      </c>
      <c r="H118" s="78">
        <v>300</v>
      </c>
      <c r="I118" s="76"/>
      <c r="J118" s="42"/>
      <c r="K118" s="42"/>
      <c r="L118" s="42"/>
      <c r="M118" s="42"/>
      <c r="N118" s="42"/>
      <c r="O118" s="42"/>
      <c r="P118" s="76"/>
      <c r="Q118" s="76"/>
      <c r="R118" s="76"/>
      <c r="S118" s="58"/>
      <c r="T118" s="58">
        <v>17.7</v>
      </c>
      <c r="U118" s="60">
        <f t="shared" si="4"/>
        <v>17.7</v>
      </c>
      <c r="V118" s="36"/>
      <c r="X118" s="122" t="s">
        <v>314</v>
      </c>
    </row>
    <row r="119" spans="1:24" ht="33">
      <c r="A119" s="37" t="s">
        <v>499</v>
      </c>
      <c r="B119" s="32" t="s">
        <v>330</v>
      </c>
      <c r="C119" s="34" t="s">
        <v>85</v>
      </c>
      <c r="D119" s="34" t="s">
        <v>331</v>
      </c>
      <c r="E119" s="34">
        <v>2014</v>
      </c>
      <c r="F119" s="34">
        <v>2016</v>
      </c>
      <c r="G119" s="58">
        <f>76.93+145+30.1-4</f>
        <v>248.03</v>
      </c>
      <c r="H119" s="58">
        <f>G119-I119</f>
        <v>171.1</v>
      </c>
      <c r="I119" s="58">
        <v>76.930000000000007</v>
      </c>
      <c r="J119" s="34"/>
      <c r="K119" s="34" t="s">
        <v>331</v>
      </c>
      <c r="L119" s="34"/>
      <c r="M119" s="34"/>
      <c r="N119" s="34"/>
      <c r="O119" s="34" t="s">
        <v>331</v>
      </c>
      <c r="P119" s="58">
        <f>105*1.18</f>
        <v>123.89999999999999</v>
      </c>
      <c r="Q119" s="58">
        <f>40*1.18</f>
        <v>47.199999999999996</v>
      </c>
      <c r="R119" s="58"/>
      <c r="S119" s="58"/>
      <c r="T119" s="58"/>
      <c r="U119" s="60">
        <f>SUM(P119:T119)</f>
        <v>171.1</v>
      </c>
      <c r="V119" s="36"/>
      <c r="X119" s="116" t="s">
        <v>330</v>
      </c>
    </row>
    <row r="120" spans="1:24" ht="49.5">
      <c r="A120" s="37" t="s">
        <v>500</v>
      </c>
      <c r="B120" s="32" t="s">
        <v>332</v>
      </c>
      <c r="C120" s="34" t="s">
        <v>85</v>
      </c>
      <c r="D120" s="34" t="s">
        <v>619</v>
      </c>
      <c r="E120" s="34">
        <v>2013</v>
      </c>
      <c r="F120" s="34">
        <v>2018</v>
      </c>
      <c r="G120" s="58">
        <f>186.138+161.302+39.6</f>
        <v>387.04</v>
      </c>
      <c r="H120" s="58">
        <f>G120-I120</f>
        <v>259.60000000000002</v>
      </c>
      <c r="I120" s="58">
        <v>127.44</v>
      </c>
      <c r="J120" s="34"/>
      <c r="K120" s="34" t="s">
        <v>333</v>
      </c>
      <c r="L120" s="34" t="s">
        <v>283</v>
      </c>
      <c r="M120" s="34" t="s">
        <v>283</v>
      </c>
      <c r="N120" s="34"/>
      <c r="O120" s="34" t="s">
        <v>334</v>
      </c>
      <c r="P120" s="58"/>
      <c r="Q120" s="58">
        <f>60*1.18</f>
        <v>70.8</v>
      </c>
      <c r="R120" s="58">
        <f>80*1.18</f>
        <v>94.399999999999991</v>
      </c>
      <c r="S120" s="58">
        <f>80*1.18</f>
        <v>94.399999999999991</v>
      </c>
      <c r="T120" s="58"/>
      <c r="U120" s="60">
        <f t="shared" ref="U120:U140" si="5">SUM(P120:T120)</f>
        <v>259.59999999999997</v>
      </c>
      <c r="V120" s="36"/>
      <c r="X120" s="116" t="s">
        <v>332</v>
      </c>
    </row>
    <row r="121" spans="1:24" ht="49.5">
      <c r="A121" s="37" t="s">
        <v>501</v>
      </c>
      <c r="B121" s="32" t="s">
        <v>335</v>
      </c>
      <c r="C121" s="40" t="s">
        <v>85</v>
      </c>
      <c r="D121" s="34" t="s">
        <v>618</v>
      </c>
      <c r="E121" s="34">
        <v>2013</v>
      </c>
      <c r="F121" s="34">
        <v>2016</v>
      </c>
      <c r="G121" s="58">
        <f>134.954+3.714+12.372</f>
        <v>151.04000000000002</v>
      </c>
      <c r="H121" s="58">
        <f t="shared" ref="H121:H142" si="6">G121-I121</f>
        <v>129.80000000000001</v>
      </c>
      <c r="I121" s="58">
        <v>21.24</v>
      </c>
      <c r="J121" s="34"/>
      <c r="K121" s="34" t="s">
        <v>336</v>
      </c>
      <c r="L121" s="34"/>
      <c r="M121" s="34"/>
      <c r="N121" s="34"/>
      <c r="O121" s="34" t="s">
        <v>336</v>
      </c>
      <c r="P121" s="58">
        <f>5*1.18</f>
        <v>5.8999999999999995</v>
      </c>
      <c r="Q121" s="58">
        <f>105*1.18</f>
        <v>123.89999999999999</v>
      </c>
      <c r="R121" s="58"/>
      <c r="S121" s="58"/>
      <c r="T121" s="58"/>
      <c r="U121" s="60">
        <f t="shared" si="5"/>
        <v>129.79999999999998</v>
      </c>
      <c r="V121" s="36"/>
      <c r="X121" s="116" t="s">
        <v>335</v>
      </c>
    </row>
    <row r="122" spans="1:24" ht="82.5">
      <c r="A122" s="37" t="s">
        <v>502</v>
      </c>
      <c r="B122" s="32" t="s">
        <v>688</v>
      </c>
      <c r="C122" s="34" t="s">
        <v>85</v>
      </c>
      <c r="D122" s="34"/>
      <c r="E122" s="34">
        <v>2014</v>
      </c>
      <c r="F122" s="34">
        <v>2020</v>
      </c>
      <c r="G122" s="58">
        <f>100.442+460+23.658</f>
        <v>584.1</v>
      </c>
      <c r="H122" s="58">
        <f t="shared" si="6"/>
        <v>542.80000000000007</v>
      </c>
      <c r="I122" s="58">
        <v>41.3</v>
      </c>
      <c r="J122" s="34"/>
      <c r="K122" s="34"/>
      <c r="L122" s="34"/>
      <c r="M122" s="34"/>
      <c r="N122" s="34"/>
      <c r="O122" s="34"/>
      <c r="P122" s="58">
        <f>80*1.18</f>
        <v>94.399999999999991</v>
      </c>
      <c r="Q122" s="58">
        <f>80*1.18</f>
        <v>94.399999999999991</v>
      </c>
      <c r="R122" s="58">
        <f>100*1.18</f>
        <v>118</v>
      </c>
      <c r="S122" s="58">
        <f>100*1.18</f>
        <v>118</v>
      </c>
      <c r="T122" s="58">
        <f>100*1.18</f>
        <v>118</v>
      </c>
      <c r="U122" s="60">
        <f t="shared" si="5"/>
        <v>542.79999999999995</v>
      </c>
      <c r="V122" s="36"/>
      <c r="X122" s="116" t="s">
        <v>688</v>
      </c>
    </row>
    <row r="123" spans="1:24" ht="33">
      <c r="A123" s="37" t="s">
        <v>503</v>
      </c>
      <c r="B123" s="32" t="s">
        <v>701</v>
      </c>
      <c r="C123" s="34" t="s">
        <v>85</v>
      </c>
      <c r="D123" s="34"/>
      <c r="E123" s="34">
        <v>2014</v>
      </c>
      <c r="F123" s="34">
        <v>2020</v>
      </c>
      <c r="G123" s="58">
        <f>3.54+10+1.18</f>
        <v>14.719999999999999</v>
      </c>
      <c r="H123" s="58">
        <v>11.8</v>
      </c>
      <c r="I123" s="58">
        <v>3.54</v>
      </c>
      <c r="J123" s="34"/>
      <c r="K123" s="34"/>
      <c r="L123" s="34"/>
      <c r="M123" s="34"/>
      <c r="N123" s="34"/>
      <c r="O123" s="34"/>
      <c r="P123" s="58">
        <f>2*1.18</f>
        <v>2.36</v>
      </c>
      <c r="Q123" s="58">
        <f>2*1.18</f>
        <v>2.36</v>
      </c>
      <c r="R123" s="58">
        <f>2*1.18</f>
        <v>2.36</v>
      </c>
      <c r="S123" s="58">
        <f>2*1.18</f>
        <v>2.36</v>
      </c>
      <c r="T123" s="58">
        <f>2*1.18</f>
        <v>2.36</v>
      </c>
      <c r="U123" s="60">
        <f t="shared" si="5"/>
        <v>11.799999999999999</v>
      </c>
      <c r="V123" s="36"/>
      <c r="X123" s="116" t="s">
        <v>701</v>
      </c>
    </row>
    <row r="124" spans="1:24" ht="33">
      <c r="A124" s="37" t="s">
        <v>504</v>
      </c>
      <c r="B124" s="32" t="s">
        <v>337</v>
      </c>
      <c r="C124" s="34" t="s">
        <v>85</v>
      </c>
      <c r="D124" s="34" t="s">
        <v>338</v>
      </c>
      <c r="E124" s="34">
        <v>2014</v>
      </c>
      <c r="F124" s="34">
        <v>2017</v>
      </c>
      <c r="G124" s="58">
        <f>177-61.1+19.8</f>
        <v>135.70000000000002</v>
      </c>
      <c r="H124" s="58">
        <f t="shared" si="6"/>
        <v>129.80000000000001</v>
      </c>
      <c r="I124" s="58">
        <v>5.9</v>
      </c>
      <c r="J124" s="34"/>
      <c r="K124" s="34" t="s">
        <v>600</v>
      </c>
      <c r="L124" s="49"/>
      <c r="M124" s="34"/>
      <c r="N124" s="34"/>
      <c r="O124" s="34" t="s">
        <v>600</v>
      </c>
      <c r="P124" s="58"/>
      <c r="Q124" s="58">
        <f>65*1.18</f>
        <v>76.7</v>
      </c>
      <c r="R124" s="58">
        <f>45*1.18</f>
        <v>53.099999999999994</v>
      </c>
      <c r="S124" s="58"/>
      <c r="T124" s="58"/>
      <c r="U124" s="60">
        <f t="shared" si="5"/>
        <v>129.80000000000001</v>
      </c>
      <c r="V124" s="36"/>
      <c r="X124" s="116" t="s">
        <v>337</v>
      </c>
    </row>
    <row r="125" spans="1:24" ht="33">
      <c r="A125" s="37" t="s">
        <v>652</v>
      </c>
      <c r="B125" s="32" t="s">
        <v>702</v>
      </c>
      <c r="C125" s="34" t="s">
        <v>85</v>
      </c>
      <c r="D125" s="34"/>
      <c r="E125" s="34">
        <v>2015</v>
      </c>
      <c r="F125" s="34">
        <v>2019</v>
      </c>
      <c r="G125" s="58">
        <v>129.80000000000001</v>
      </c>
      <c r="H125" s="58">
        <f t="shared" si="6"/>
        <v>129.80000000000001</v>
      </c>
      <c r="I125" s="58"/>
      <c r="J125" s="34"/>
      <c r="K125" s="34"/>
      <c r="L125" s="34"/>
      <c r="M125" s="34"/>
      <c r="N125" s="34"/>
      <c r="O125" s="34"/>
      <c r="P125" s="58">
        <f>22*1.18</f>
        <v>25.959999999999997</v>
      </c>
      <c r="Q125" s="58">
        <f>22*1.18</f>
        <v>25.959999999999997</v>
      </c>
      <c r="R125" s="58">
        <f>22*1.18</f>
        <v>25.959999999999997</v>
      </c>
      <c r="S125" s="58">
        <f>22*1.18</f>
        <v>25.959999999999997</v>
      </c>
      <c r="T125" s="58">
        <f>22*1.18</f>
        <v>25.959999999999997</v>
      </c>
      <c r="U125" s="60">
        <f t="shared" si="5"/>
        <v>129.79999999999998</v>
      </c>
      <c r="V125" s="36"/>
      <c r="X125" s="116" t="s">
        <v>702</v>
      </c>
    </row>
    <row r="126" spans="1:24" ht="33">
      <c r="A126" s="37" t="s">
        <v>505</v>
      </c>
      <c r="B126" s="32" t="s">
        <v>339</v>
      </c>
      <c r="C126" s="34"/>
      <c r="D126" s="34" t="s">
        <v>338</v>
      </c>
      <c r="E126" s="34">
        <v>2015</v>
      </c>
      <c r="F126" s="34">
        <v>2015</v>
      </c>
      <c r="G126" s="58">
        <v>70.8</v>
      </c>
      <c r="H126" s="58">
        <f t="shared" si="6"/>
        <v>70.8</v>
      </c>
      <c r="I126" s="58"/>
      <c r="J126" s="34" t="s">
        <v>600</v>
      </c>
      <c r="K126" s="34"/>
      <c r="L126" s="34"/>
      <c r="M126" s="34"/>
      <c r="N126" s="34"/>
      <c r="O126" s="34" t="s">
        <v>600</v>
      </c>
      <c r="P126" s="58">
        <f>60*1.18</f>
        <v>70.8</v>
      </c>
      <c r="Q126" s="58"/>
      <c r="R126" s="58"/>
      <c r="S126" s="58"/>
      <c r="T126" s="58"/>
      <c r="U126" s="60">
        <f t="shared" si="5"/>
        <v>70.8</v>
      </c>
      <c r="V126" s="36"/>
      <c r="X126" s="116" t="s">
        <v>339</v>
      </c>
    </row>
    <row r="127" spans="1:24" ht="16.5">
      <c r="A127" s="37" t="s">
        <v>506</v>
      </c>
      <c r="B127" s="32" t="s">
        <v>340</v>
      </c>
      <c r="C127" s="34" t="s">
        <v>85</v>
      </c>
      <c r="D127" s="34" t="s">
        <v>617</v>
      </c>
      <c r="E127" s="34">
        <v>2015</v>
      </c>
      <c r="F127" s="34">
        <v>2021</v>
      </c>
      <c r="G127" s="58">
        <v>92.04</v>
      </c>
      <c r="H127" s="58">
        <f t="shared" si="6"/>
        <v>92.04</v>
      </c>
      <c r="I127" s="58"/>
      <c r="J127" s="34" t="s">
        <v>624</v>
      </c>
      <c r="K127" s="34" t="s">
        <v>624</v>
      </c>
      <c r="L127" s="34" t="s">
        <v>624</v>
      </c>
      <c r="M127" s="34" t="s">
        <v>624</v>
      </c>
      <c r="N127" s="34" t="s">
        <v>624</v>
      </c>
      <c r="O127" s="34" t="s">
        <v>617</v>
      </c>
      <c r="P127" s="58">
        <f>5.2*1.18</f>
        <v>6.1360000000000001</v>
      </c>
      <c r="Q127" s="58">
        <f>5.2*1.18</f>
        <v>6.1360000000000001</v>
      </c>
      <c r="R127" s="58">
        <f>5.2*1.18</f>
        <v>6.1360000000000001</v>
      </c>
      <c r="S127" s="58">
        <f>5.2*1.18</f>
        <v>6.1360000000000001</v>
      </c>
      <c r="T127" s="58">
        <f>5.2*1.18</f>
        <v>6.1360000000000001</v>
      </c>
      <c r="U127" s="60">
        <f t="shared" si="5"/>
        <v>30.68</v>
      </c>
      <c r="V127" s="36"/>
      <c r="X127" s="116" t="s">
        <v>340</v>
      </c>
    </row>
    <row r="128" spans="1:24" ht="49.5">
      <c r="A128" s="37" t="s">
        <v>507</v>
      </c>
      <c r="B128" s="32" t="s">
        <v>341</v>
      </c>
      <c r="C128" s="34" t="s">
        <v>238</v>
      </c>
      <c r="D128" s="34" t="s">
        <v>342</v>
      </c>
      <c r="E128" s="34">
        <v>2015</v>
      </c>
      <c r="F128" s="34">
        <v>2016</v>
      </c>
      <c r="G128" s="58">
        <v>105.02</v>
      </c>
      <c r="H128" s="58">
        <f t="shared" si="6"/>
        <v>105.02</v>
      </c>
      <c r="I128" s="58"/>
      <c r="J128" s="34"/>
      <c r="K128" s="34" t="s">
        <v>625</v>
      </c>
      <c r="L128" s="34"/>
      <c r="M128" s="34"/>
      <c r="N128" s="34"/>
      <c r="O128" s="34" t="s">
        <v>625</v>
      </c>
      <c r="P128" s="58">
        <f>9*1.18</f>
        <v>10.62</v>
      </c>
      <c r="Q128" s="58">
        <f>80*1.18</f>
        <v>94.399999999999991</v>
      </c>
      <c r="R128" s="58"/>
      <c r="S128" s="58"/>
      <c r="T128" s="58"/>
      <c r="U128" s="60">
        <f t="shared" si="5"/>
        <v>105.02</v>
      </c>
      <c r="V128" s="36"/>
      <c r="X128" s="116" t="s">
        <v>341</v>
      </c>
    </row>
    <row r="129" spans="1:24" ht="49.5">
      <c r="A129" s="37" t="s">
        <v>508</v>
      </c>
      <c r="B129" s="32" t="s">
        <v>343</v>
      </c>
      <c r="C129" s="34" t="s">
        <v>238</v>
      </c>
      <c r="D129" s="34" t="s">
        <v>616</v>
      </c>
      <c r="E129" s="34">
        <v>2015</v>
      </c>
      <c r="F129" s="34">
        <v>2020</v>
      </c>
      <c r="G129" s="58">
        <v>94.4</v>
      </c>
      <c r="H129" s="58">
        <f t="shared" si="6"/>
        <v>94.4</v>
      </c>
      <c r="I129" s="58"/>
      <c r="J129" s="34"/>
      <c r="K129" s="34"/>
      <c r="L129" s="34"/>
      <c r="M129" s="34" t="s">
        <v>344</v>
      </c>
      <c r="N129" s="34"/>
      <c r="O129" s="34" t="s">
        <v>344</v>
      </c>
      <c r="P129" s="58"/>
      <c r="Q129" s="58"/>
      <c r="R129" s="58">
        <f>6*1.18</f>
        <v>7.08</v>
      </c>
      <c r="S129" s="58">
        <f>74*1.18</f>
        <v>87.32</v>
      </c>
      <c r="T129" s="58"/>
      <c r="U129" s="60">
        <f t="shared" si="5"/>
        <v>94.399999999999991</v>
      </c>
      <c r="V129" s="36"/>
      <c r="X129" s="116" t="s">
        <v>343</v>
      </c>
    </row>
    <row r="130" spans="1:24" ht="49.5">
      <c r="A130" s="37" t="s">
        <v>509</v>
      </c>
      <c r="B130" s="32" t="s">
        <v>345</v>
      </c>
      <c r="C130" s="34" t="s">
        <v>85</v>
      </c>
      <c r="D130" s="34" t="s">
        <v>346</v>
      </c>
      <c r="E130" s="34">
        <v>2016</v>
      </c>
      <c r="F130" s="34">
        <v>2016</v>
      </c>
      <c r="G130" s="58">
        <v>37.76</v>
      </c>
      <c r="H130" s="58">
        <f t="shared" si="6"/>
        <v>37.76</v>
      </c>
      <c r="I130" s="58"/>
      <c r="J130" s="34"/>
      <c r="K130" s="34" t="s">
        <v>598</v>
      </c>
      <c r="L130" s="34"/>
      <c r="M130" s="34"/>
      <c r="N130" s="34"/>
      <c r="O130" s="34" t="s">
        <v>598</v>
      </c>
      <c r="P130" s="58"/>
      <c r="Q130" s="58">
        <f>32*1.18</f>
        <v>37.76</v>
      </c>
      <c r="R130" s="58"/>
      <c r="S130" s="58"/>
      <c r="T130" s="58"/>
      <c r="U130" s="60">
        <f t="shared" si="5"/>
        <v>37.76</v>
      </c>
      <c r="V130" s="36"/>
      <c r="X130" s="116" t="s">
        <v>345</v>
      </c>
    </row>
    <row r="131" spans="1:24" ht="16.5">
      <c r="A131" s="37" t="s">
        <v>510</v>
      </c>
      <c r="B131" s="32" t="s">
        <v>347</v>
      </c>
      <c r="C131" s="34" t="s">
        <v>85</v>
      </c>
      <c r="D131" s="34" t="s">
        <v>348</v>
      </c>
      <c r="E131" s="34">
        <v>2012</v>
      </c>
      <c r="F131" s="34">
        <v>2017</v>
      </c>
      <c r="G131" s="58">
        <v>68.44</v>
      </c>
      <c r="H131" s="58">
        <f t="shared" si="6"/>
        <v>68.44</v>
      </c>
      <c r="I131" s="58"/>
      <c r="J131" s="34"/>
      <c r="K131" s="34" t="s">
        <v>597</v>
      </c>
      <c r="L131" s="34"/>
      <c r="M131" s="34"/>
      <c r="N131" s="34"/>
      <c r="O131" s="34" t="s">
        <v>597</v>
      </c>
      <c r="P131" s="58"/>
      <c r="Q131" s="58"/>
      <c r="R131" s="58">
        <f>58*1.18</f>
        <v>68.44</v>
      </c>
      <c r="S131" s="58"/>
      <c r="T131" s="58"/>
      <c r="U131" s="60">
        <f t="shared" si="5"/>
        <v>68.44</v>
      </c>
      <c r="V131" s="36"/>
      <c r="X131" s="116" t="s">
        <v>347</v>
      </c>
    </row>
    <row r="132" spans="1:24" ht="33">
      <c r="A132" s="37" t="s">
        <v>511</v>
      </c>
      <c r="B132" s="32" t="s">
        <v>349</v>
      </c>
      <c r="C132" s="34" t="s">
        <v>85</v>
      </c>
      <c r="D132" s="34" t="s">
        <v>612</v>
      </c>
      <c r="E132" s="34">
        <v>2016</v>
      </c>
      <c r="F132" s="34">
        <v>2017</v>
      </c>
      <c r="G132" s="58">
        <f>321+57.78</f>
        <v>378.78</v>
      </c>
      <c r="H132" s="58">
        <f t="shared" si="6"/>
        <v>378.78</v>
      </c>
      <c r="I132" s="58"/>
      <c r="J132" s="34"/>
      <c r="K132" s="34"/>
      <c r="L132" s="34" t="s">
        <v>612</v>
      </c>
      <c r="M132" s="34"/>
      <c r="N132" s="34"/>
      <c r="O132" s="34" t="s">
        <v>350</v>
      </c>
      <c r="P132" s="58"/>
      <c r="Q132" s="58">
        <f>121*1.18</f>
        <v>142.78</v>
      </c>
      <c r="R132" s="58">
        <f>200*1.18</f>
        <v>236</v>
      </c>
      <c r="S132" s="58"/>
      <c r="T132" s="58"/>
      <c r="U132" s="60">
        <f t="shared" si="5"/>
        <v>378.78</v>
      </c>
      <c r="V132" s="36"/>
      <c r="X132" s="116" t="s">
        <v>349</v>
      </c>
    </row>
    <row r="133" spans="1:24" ht="33">
      <c r="A133" s="37" t="s">
        <v>512</v>
      </c>
      <c r="B133" s="32" t="s">
        <v>351</v>
      </c>
      <c r="C133" s="34" t="s">
        <v>85</v>
      </c>
      <c r="D133" s="34" t="s">
        <v>613</v>
      </c>
      <c r="E133" s="34">
        <v>2012</v>
      </c>
      <c r="F133" s="34">
        <v>2016</v>
      </c>
      <c r="G133" s="58">
        <f>221+39.78</f>
        <v>260.77999999999997</v>
      </c>
      <c r="H133" s="58">
        <f t="shared" si="6"/>
        <v>260.77999999999997</v>
      </c>
      <c r="I133" s="58"/>
      <c r="J133" s="34"/>
      <c r="K133" s="34" t="s">
        <v>626</v>
      </c>
      <c r="L133" s="34"/>
      <c r="M133" s="34"/>
      <c r="N133" s="34"/>
      <c r="O133" s="34" t="s">
        <v>627</v>
      </c>
      <c r="P133" s="58">
        <f>121*1.18</f>
        <v>142.78</v>
      </c>
      <c r="Q133" s="58">
        <f>100*1.18</f>
        <v>118</v>
      </c>
      <c r="R133" s="58"/>
      <c r="S133" s="58"/>
      <c r="T133" s="58"/>
      <c r="U133" s="60">
        <f t="shared" si="5"/>
        <v>260.77999999999997</v>
      </c>
      <c r="V133" s="36"/>
      <c r="X133" s="116" t="s">
        <v>351</v>
      </c>
    </row>
    <row r="134" spans="1:24" ht="16.5">
      <c r="A134" s="37" t="s">
        <v>513</v>
      </c>
      <c r="B134" s="32" t="s">
        <v>353</v>
      </c>
      <c r="C134" s="34" t="s">
        <v>238</v>
      </c>
      <c r="D134" s="34" t="s">
        <v>346</v>
      </c>
      <c r="E134" s="34">
        <v>2015</v>
      </c>
      <c r="F134" s="34">
        <v>2017</v>
      </c>
      <c r="G134" s="58">
        <f>144+25.92</f>
        <v>169.92000000000002</v>
      </c>
      <c r="H134" s="58">
        <f t="shared" si="6"/>
        <v>169.92000000000002</v>
      </c>
      <c r="I134" s="58"/>
      <c r="J134" s="34"/>
      <c r="K134" s="34" t="s">
        <v>381</v>
      </c>
      <c r="L134" s="34" t="s">
        <v>381</v>
      </c>
      <c r="M134" s="34"/>
      <c r="N134" s="34"/>
      <c r="O134" s="34" t="s">
        <v>598</v>
      </c>
      <c r="P134" s="58">
        <f>4*1.18</f>
        <v>4.72</v>
      </c>
      <c r="Q134" s="58">
        <f>80*1.18</f>
        <v>94.399999999999991</v>
      </c>
      <c r="R134" s="58">
        <f>60*1.18</f>
        <v>70.8</v>
      </c>
      <c r="S134" s="58"/>
      <c r="T134" s="58"/>
      <c r="U134" s="60">
        <f t="shared" si="5"/>
        <v>169.92</v>
      </c>
      <c r="V134" s="36"/>
      <c r="X134" s="116" t="s">
        <v>353</v>
      </c>
    </row>
    <row r="135" spans="1:24" ht="33">
      <c r="A135" s="37" t="s">
        <v>514</v>
      </c>
      <c r="B135" s="32" t="s">
        <v>354</v>
      </c>
      <c r="C135" s="34" t="s">
        <v>85</v>
      </c>
      <c r="D135" s="34"/>
      <c r="E135" s="34">
        <v>2015</v>
      </c>
      <c r="F135" s="34">
        <v>2016</v>
      </c>
      <c r="G135" s="58">
        <v>472</v>
      </c>
      <c r="H135" s="58">
        <f t="shared" si="6"/>
        <v>472</v>
      </c>
      <c r="I135" s="58"/>
      <c r="J135" s="34"/>
      <c r="K135" s="34"/>
      <c r="L135" s="34"/>
      <c r="M135" s="34"/>
      <c r="N135" s="34"/>
      <c r="O135" s="34"/>
      <c r="P135" s="58">
        <f>200*1.18</f>
        <v>236</v>
      </c>
      <c r="Q135" s="58">
        <f>200*1.18</f>
        <v>236</v>
      </c>
      <c r="R135" s="58"/>
      <c r="S135" s="58"/>
      <c r="T135" s="58"/>
      <c r="U135" s="60">
        <f t="shared" si="5"/>
        <v>472</v>
      </c>
      <c r="V135" s="36"/>
      <c r="X135" s="116" t="s">
        <v>354</v>
      </c>
    </row>
    <row r="136" spans="1:24" ht="66">
      <c r="A136" s="37" t="s">
        <v>515</v>
      </c>
      <c r="B136" s="32" t="s">
        <v>355</v>
      </c>
      <c r="C136" s="34" t="s">
        <v>85</v>
      </c>
      <c r="D136" s="34"/>
      <c r="E136" s="34">
        <v>2015</v>
      </c>
      <c r="F136" s="34">
        <v>2019</v>
      </c>
      <c r="G136" s="58">
        <v>141.6</v>
      </c>
      <c r="H136" s="58">
        <f t="shared" si="6"/>
        <v>141.6</v>
      </c>
      <c r="I136" s="58"/>
      <c r="J136" s="34"/>
      <c r="K136" s="34"/>
      <c r="L136" s="34"/>
      <c r="M136" s="34"/>
      <c r="N136" s="34"/>
      <c r="O136" s="34"/>
      <c r="P136" s="58">
        <f>24*1.18</f>
        <v>28.32</v>
      </c>
      <c r="Q136" s="58">
        <f>24*1.18</f>
        <v>28.32</v>
      </c>
      <c r="R136" s="58">
        <f>24*1.18</f>
        <v>28.32</v>
      </c>
      <c r="S136" s="58">
        <f>24*1.18</f>
        <v>28.32</v>
      </c>
      <c r="T136" s="58">
        <f>24*1.18</f>
        <v>28.32</v>
      </c>
      <c r="U136" s="60">
        <f t="shared" si="5"/>
        <v>141.6</v>
      </c>
      <c r="V136" s="36"/>
      <c r="X136" s="116" t="s">
        <v>355</v>
      </c>
    </row>
    <row r="137" spans="1:24" ht="33">
      <c r="A137" s="37" t="s">
        <v>516</v>
      </c>
      <c r="B137" s="32" t="s">
        <v>356</v>
      </c>
      <c r="C137" s="34" t="s">
        <v>85</v>
      </c>
      <c r="D137" s="34" t="s">
        <v>346</v>
      </c>
      <c r="E137" s="34">
        <v>2017</v>
      </c>
      <c r="F137" s="34">
        <v>2017</v>
      </c>
      <c r="G137" s="58">
        <v>136.88</v>
      </c>
      <c r="H137" s="58">
        <f t="shared" si="6"/>
        <v>136.88</v>
      </c>
      <c r="I137" s="58"/>
      <c r="J137" s="34"/>
      <c r="K137" s="34"/>
      <c r="L137" s="34" t="s">
        <v>598</v>
      </c>
      <c r="M137" s="34"/>
      <c r="N137" s="34"/>
      <c r="O137" s="34" t="s">
        <v>598</v>
      </c>
      <c r="P137" s="58"/>
      <c r="Q137" s="58"/>
      <c r="R137" s="58">
        <f>116*1.18</f>
        <v>136.88</v>
      </c>
      <c r="S137" s="58"/>
      <c r="T137" s="58"/>
      <c r="U137" s="60">
        <f t="shared" si="5"/>
        <v>136.88</v>
      </c>
      <c r="V137" s="36"/>
      <c r="X137" s="116" t="s">
        <v>356</v>
      </c>
    </row>
    <row r="138" spans="1:24" ht="33">
      <c r="A138" s="37" t="s">
        <v>517</v>
      </c>
      <c r="B138" s="32" t="s">
        <v>357</v>
      </c>
      <c r="C138" s="34" t="s">
        <v>85</v>
      </c>
      <c r="D138" s="34"/>
      <c r="E138" s="34">
        <v>2015</v>
      </c>
      <c r="F138" s="34">
        <v>2019</v>
      </c>
      <c r="G138" s="58">
        <f>190+34.2</f>
        <v>224.2</v>
      </c>
      <c r="H138" s="58">
        <f t="shared" si="6"/>
        <v>224.2</v>
      </c>
      <c r="I138" s="58"/>
      <c r="J138" s="34"/>
      <c r="K138" s="34"/>
      <c r="L138" s="34"/>
      <c r="M138" s="34"/>
      <c r="N138" s="34"/>
      <c r="O138" s="34"/>
      <c r="P138" s="58">
        <f>38*1.18</f>
        <v>44.839999999999996</v>
      </c>
      <c r="Q138" s="58">
        <f>38*1.18</f>
        <v>44.839999999999996</v>
      </c>
      <c r="R138" s="58">
        <f>38*1.18</f>
        <v>44.839999999999996</v>
      </c>
      <c r="S138" s="58">
        <f>38*1.18</f>
        <v>44.839999999999996</v>
      </c>
      <c r="T138" s="58">
        <f>38*1.18</f>
        <v>44.839999999999996</v>
      </c>
      <c r="U138" s="60">
        <f t="shared" si="5"/>
        <v>224.2</v>
      </c>
      <c r="V138" s="36"/>
      <c r="X138" s="116" t="s">
        <v>357</v>
      </c>
    </row>
    <row r="139" spans="1:24" ht="16.5">
      <c r="A139" s="37" t="s">
        <v>518</v>
      </c>
      <c r="B139" s="32" t="s">
        <v>358</v>
      </c>
      <c r="C139" s="34" t="s">
        <v>85</v>
      </c>
      <c r="D139" s="34" t="s">
        <v>359</v>
      </c>
      <c r="E139" s="34">
        <v>2016</v>
      </c>
      <c r="F139" s="34">
        <v>2016</v>
      </c>
      <c r="G139" s="58">
        <v>106.2</v>
      </c>
      <c r="H139" s="58">
        <f t="shared" si="6"/>
        <v>106.2</v>
      </c>
      <c r="I139" s="58"/>
      <c r="J139" s="34"/>
      <c r="K139" s="34" t="s">
        <v>599</v>
      </c>
      <c r="L139" s="34"/>
      <c r="M139" s="34"/>
      <c r="N139" s="34"/>
      <c r="O139" s="34" t="s">
        <v>599</v>
      </c>
      <c r="P139" s="58"/>
      <c r="Q139" s="58">
        <f>90*1.18</f>
        <v>106.19999999999999</v>
      </c>
      <c r="R139" s="58"/>
      <c r="S139" s="58"/>
      <c r="T139" s="58"/>
      <c r="U139" s="60">
        <f t="shared" si="5"/>
        <v>106.19999999999999</v>
      </c>
      <c r="V139" s="36"/>
      <c r="X139" s="116" t="s">
        <v>358</v>
      </c>
    </row>
    <row r="140" spans="1:24" ht="16.5">
      <c r="A140" s="37" t="s">
        <v>519</v>
      </c>
      <c r="B140" s="32" t="s">
        <v>360</v>
      </c>
      <c r="C140" s="34" t="s">
        <v>85</v>
      </c>
      <c r="D140" s="34" t="s">
        <v>338</v>
      </c>
      <c r="E140" s="34">
        <v>2017</v>
      </c>
      <c r="F140" s="34">
        <v>2019</v>
      </c>
      <c r="G140" s="58">
        <v>310.33999999999997</v>
      </c>
      <c r="H140" s="58">
        <f t="shared" si="6"/>
        <v>310.33999999999997</v>
      </c>
      <c r="I140" s="58"/>
      <c r="J140" s="34"/>
      <c r="K140" s="34"/>
      <c r="L140" s="34"/>
      <c r="M140" s="34"/>
      <c r="N140" s="34" t="s">
        <v>600</v>
      </c>
      <c r="O140" s="34" t="s">
        <v>600</v>
      </c>
      <c r="P140" s="58"/>
      <c r="Q140" s="58"/>
      <c r="R140" s="58">
        <f>16*1.18</f>
        <v>18.88</v>
      </c>
      <c r="S140" s="58">
        <f>162*1.18</f>
        <v>191.16</v>
      </c>
      <c r="T140" s="58">
        <f>85*1.18</f>
        <v>100.3</v>
      </c>
      <c r="U140" s="60">
        <f t="shared" si="5"/>
        <v>310.33999999999997</v>
      </c>
      <c r="V140" s="36"/>
      <c r="X140" s="116" t="s">
        <v>360</v>
      </c>
    </row>
    <row r="141" spans="1:24" ht="49.5">
      <c r="A141" s="37" t="s">
        <v>520</v>
      </c>
      <c r="B141" s="32" t="s">
        <v>363</v>
      </c>
      <c r="C141" s="34" t="s">
        <v>85</v>
      </c>
      <c r="D141" s="34"/>
      <c r="E141" s="34">
        <v>2018</v>
      </c>
      <c r="F141" s="34">
        <v>2018</v>
      </c>
      <c r="G141" s="58">
        <v>153.4</v>
      </c>
      <c r="H141" s="58">
        <f>G141-I141</f>
        <v>153.4</v>
      </c>
      <c r="I141" s="58"/>
      <c r="J141" s="34"/>
      <c r="K141" s="34"/>
      <c r="L141" s="34"/>
      <c r="M141" s="34"/>
      <c r="N141" s="34"/>
      <c r="O141" s="67"/>
      <c r="P141" s="58"/>
      <c r="Q141" s="58"/>
      <c r="R141" s="58"/>
      <c r="S141" s="58">
        <f>130*1.18</f>
        <v>153.4</v>
      </c>
      <c r="T141" s="58"/>
      <c r="U141" s="60">
        <f>SUM(P141:T141)</f>
        <v>153.4</v>
      </c>
      <c r="V141" s="36"/>
      <c r="X141" s="116" t="s">
        <v>363</v>
      </c>
    </row>
    <row r="142" spans="1:24" ht="16.5">
      <c r="A142" s="37" t="s">
        <v>521</v>
      </c>
      <c r="B142" s="32" t="s">
        <v>364</v>
      </c>
      <c r="C142" s="34"/>
      <c r="D142" s="34"/>
      <c r="E142" s="34">
        <v>2015</v>
      </c>
      <c r="F142" s="34">
        <v>2019</v>
      </c>
      <c r="G142" s="58">
        <v>560.26400000000001</v>
      </c>
      <c r="H142" s="58">
        <f t="shared" si="6"/>
        <v>560.26400000000001</v>
      </c>
      <c r="I142" s="58"/>
      <c r="J142" s="34"/>
      <c r="K142" s="34"/>
      <c r="L142" s="34"/>
      <c r="M142" s="34"/>
      <c r="N142" s="34"/>
      <c r="O142" s="67"/>
      <c r="P142" s="58">
        <f>24.8*1.18</f>
        <v>29.263999999999999</v>
      </c>
      <c r="Q142" s="58">
        <f>50*1.18</f>
        <v>59</v>
      </c>
      <c r="R142" s="58">
        <f>200*1.18</f>
        <v>236</v>
      </c>
      <c r="S142" s="58">
        <f>100*1.18</f>
        <v>118</v>
      </c>
      <c r="T142" s="58">
        <f>100*1.18</f>
        <v>118</v>
      </c>
      <c r="U142" s="60">
        <f>SUM(P142:T142)</f>
        <v>560.26400000000001</v>
      </c>
      <c r="V142" s="36"/>
      <c r="X142" s="116" t="s">
        <v>364</v>
      </c>
    </row>
    <row r="143" spans="1:24" ht="66">
      <c r="A143" s="37" t="s">
        <v>522</v>
      </c>
      <c r="B143" s="39" t="s">
        <v>719</v>
      </c>
      <c r="C143" s="34" t="s">
        <v>85</v>
      </c>
      <c r="D143" s="34" t="s">
        <v>361</v>
      </c>
      <c r="E143" s="34">
        <v>2015</v>
      </c>
      <c r="F143" s="34">
        <v>2019</v>
      </c>
      <c r="G143" s="58">
        <v>4425</v>
      </c>
      <c r="H143" s="58">
        <f>G143-I143</f>
        <v>4425</v>
      </c>
      <c r="I143" s="58"/>
      <c r="J143" s="43" t="s">
        <v>362</v>
      </c>
      <c r="K143" s="43" t="s">
        <v>362</v>
      </c>
      <c r="L143" s="43" t="s">
        <v>362</v>
      </c>
      <c r="M143" s="43" t="s">
        <v>362</v>
      </c>
      <c r="N143" s="43" t="s">
        <v>362</v>
      </c>
      <c r="O143" s="34" t="s">
        <v>361</v>
      </c>
      <c r="P143" s="58">
        <f>750*1.18</f>
        <v>885</v>
      </c>
      <c r="Q143" s="58">
        <f>750*1.18</f>
        <v>885</v>
      </c>
      <c r="R143" s="58">
        <f>750*1.18</f>
        <v>885</v>
      </c>
      <c r="S143" s="58">
        <f>750*1.18</f>
        <v>885</v>
      </c>
      <c r="T143" s="58">
        <f>750*1.18</f>
        <v>885</v>
      </c>
      <c r="U143" s="60">
        <f>SUM(P143:T143)</f>
        <v>4425</v>
      </c>
      <c r="V143" s="36"/>
      <c r="X143" s="121" t="s">
        <v>719</v>
      </c>
    </row>
    <row r="144" spans="1:24" ht="16.5">
      <c r="A144" s="37" t="s">
        <v>720</v>
      </c>
      <c r="B144" s="39" t="s">
        <v>747</v>
      </c>
      <c r="C144" s="34" t="s">
        <v>85</v>
      </c>
      <c r="D144" s="34"/>
      <c r="E144" s="34">
        <v>2015</v>
      </c>
      <c r="F144" s="34">
        <v>2019</v>
      </c>
      <c r="G144" s="58">
        <v>50</v>
      </c>
      <c r="H144" s="58">
        <f>G144-I144</f>
        <v>50</v>
      </c>
      <c r="I144" s="58"/>
      <c r="J144" s="43"/>
      <c r="K144" s="43"/>
      <c r="L144" s="43"/>
      <c r="M144" s="43"/>
      <c r="N144" s="43"/>
      <c r="O144" s="34"/>
      <c r="P144" s="58">
        <v>10</v>
      </c>
      <c r="Q144" s="58">
        <v>10</v>
      </c>
      <c r="R144" s="58">
        <v>10</v>
      </c>
      <c r="S144" s="58">
        <v>10</v>
      </c>
      <c r="T144" s="58">
        <v>10</v>
      </c>
      <c r="U144" s="60">
        <f>SUM(P144:T144)</f>
        <v>50</v>
      </c>
      <c r="V144" s="36"/>
      <c r="X144" s="121" t="s">
        <v>747</v>
      </c>
    </row>
    <row r="145" spans="1:24" ht="49.5">
      <c r="A145" s="66" t="s">
        <v>2</v>
      </c>
      <c r="B145" s="73" t="s">
        <v>57</v>
      </c>
      <c r="C145" s="34"/>
      <c r="D145" s="34"/>
      <c r="E145" s="34"/>
      <c r="F145" s="34"/>
      <c r="G145" s="74">
        <f>SUM(G146:G160)</f>
        <v>837.75800000000027</v>
      </c>
      <c r="H145" s="74">
        <f>SUM(H146:H160)</f>
        <v>760.5100000000001</v>
      </c>
      <c r="I145" s="74">
        <f>SUM(I146:I160)</f>
        <v>76.067999999999998</v>
      </c>
      <c r="J145" s="34"/>
      <c r="K145" s="34"/>
      <c r="L145" s="34"/>
      <c r="M145" s="34"/>
      <c r="N145" s="34"/>
      <c r="O145" s="34"/>
      <c r="P145" s="74">
        <f t="shared" ref="P145:U145" si="7">SUM(P146:P160)</f>
        <v>264.90999999999997</v>
      </c>
      <c r="Q145" s="74">
        <f t="shared" si="7"/>
        <v>285.678</v>
      </c>
      <c r="R145" s="74">
        <f t="shared" si="7"/>
        <v>70.800000000000011</v>
      </c>
      <c r="S145" s="74">
        <f t="shared" si="7"/>
        <v>86.612000000000009</v>
      </c>
      <c r="T145" s="74">
        <f t="shared" si="7"/>
        <v>52.51</v>
      </c>
      <c r="U145" s="74">
        <f t="shared" si="7"/>
        <v>760.5100000000001</v>
      </c>
      <c r="V145" s="36"/>
      <c r="X145" s="123" t="s">
        <v>57</v>
      </c>
    </row>
    <row r="146" spans="1:24" ht="66">
      <c r="A146" s="37" t="s">
        <v>523</v>
      </c>
      <c r="B146" s="32" t="s">
        <v>89</v>
      </c>
      <c r="C146" s="34" t="s">
        <v>233</v>
      </c>
      <c r="D146" s="34"/>
      <c r="E146" s="34">
        <v>2014</v>
      </c>
      <c r="F146" s="34">
        <v>2016</v>
      </c>
      <c r="G146" s="58">
        <f>H146+I146</f>
        <v>233.00800000000001</v>
      </c>
      <c r="H146" s="58">
        <v>227.74</v>
      </c>
      <c r="I146" s="58">
        <v>5.2679999999999998</v>
      </c>
      <c r="J146" s="34"/>
      <c r="K146" s="34"/>
      <c r="L146" s="34"/>
      <c r="M146" s="34"/>
      <c r="N146" s="34"/>
      <c r="O146" s="34"/>
      <c r="P146" s="58">
        <f>94.4+15.34</f>
        <v>109.74000000000001</v>
      </c>
      <c r="Q146" s="58">
        <v>118</v>
      </c>
      <c r="R146" s="58"/>
      <c r="S146" s="58"/>
      <c r="T146" s="58"/>
      <c r="U146" s="60">
        <f>SUM(P146:T146)</f>
        <v>227.74</v>
      </c>
      <c r="V146" s="36"/>
      <c r="X146" s="116" t="s">
        <v>89</v>
      </c>
    </row>
    <row r="147" spans="1:24" ht="33">
      <c r="A147" s="37" t="s">
        <v>524</v>
      </c>
      <c r="B147" s="32" t="s">
        <v>109</v>
      </c>
      <c r="C147" s="34" t="s">
        <v>85</v>
      </c>
      <c r="D147" s="34"/>
      <c r="E147" s="34">
        <v>2013</v>
      </c>
      <c r="F147" s="34">
        <v>2016</v>
      </c>
      <c r="G147" s="58">
        <f>40.12+1.18</f>
        <v>41.3</v>
      </c>
      <c r="H147" s="58">
        <v>40.119999999999997</v>
      </c>
      <c r="I147" s="58"/>
      <c r="J147" s="34"/>
      <c r="K147" s="34"/>
      <c r="L147" s="34"/>
      <c r="M147" s="34"/>
      <c r="N147" s="34"/>
      <c r="O147" s="34"/>
      <c r="P147" s="58"/>
      <c r="Q147" s="58">
        <v>40.119999999999997</v>
      </c>
      <c r="R147" s="58"/>
      <c r="S147" s="58"/>
      <c r="T147" s="58"/>
      <c r="U147" s="60">
        <f>SUM(P147:T147)</f>
        <v>40.119999999999997</v>
      </c>
      <c r="V147" s="36"/>
      <c r="X147" s="116" t="s">
        <v>109</v>
      </c>
    </row>
    <row r="148" spans="1:24" ht="39" customHeight="1">
      <c r="A148" s="37" t="s">
        <v>525</v>
      </c>
      <c r="B148" s="32" t="s">
        <v>650</v>
      </c>
      <c r="C148" s="34" t="s">
        <v>233</v>
      </c>
      <c r="D148" s="34"/>
      <c r="E148" s="34">
        <v>2017</v>
      </c>
      <c r="F148" s="34">
        <v>2019</v>
      </c>
      <c r="G148" s="58">
        <f>H148+I148</f>
        <v>76.582000000000008</v>
      </c>
      <c r="H148" s="58">
        <v>70.682000000000002</v>
      </c>
      <c r="I148" s="58">
        <f>5.9</f>
        <v>5.9</v>
      </c>
      <c r="J148" s="34"/>
      <c r="K148" s="34"/>
      <c r="L148" s="34"/>
      <c r="M148" s="34"/>
      <c r="N148" s="34"/>
      <c r="O148" s="34"/>
      <c r="P148" s="58"/>
      <c r="Q148" s="57"/>
      <c r="R148" s="58">
        <v>3.54</v>
      </c>
      <c r="S148" s="58">
        <v>25.841999999999999</v>
      </c>
      <c r="T148" s="58">
        <v>41.3</v>
      </c>
      <c r="U148" s="60">
        <f>SUM(P148:T148)</f>
        <v>70.681999999999988</v>
      </c>
      <c r="V148" s="36"/>
      <c r="X148" s="116" t="s">
        <v>650</v>
      </c>
    </row>
    <row r="149" spans="1:24" ht="66">
      <c r="A149" s="37" t="s">
        <v>526</v>
      </c>
      <c r="B149" s="172" t="s">
        <v>200</v>
      </c>
      <c r="C149" s="34" t="s">
        <v>233</v>
      </c>
      <c r="D149" s="34"/>
      <c r="E149" s="34">
        <v>2016</v>
      </c>
      <c r="F149" s="34">
        <v>2017</v>
      </c>
      <c r="G149" s="58">
        <f>7.1*1.18</f>
        <v>8.3779999999999983</v>
      </c>
      <c r="H149" s="58">
        <f>7.1*1.18</f>
        <v>8.3779999999999983</v>
      </c>
      <c r="I149" s="58"/>
      <c r="J149" s="34"/>
      <c r="K149" s="34"/>
      <c r="L149" s="34"/>
      <c r="M149" s="34"/>
      <c r="N149" s="34"/>
      <c r="O149" s="34"/>
      <c r="P149" s="58"/>
      <c r="Q149" s="58">
        <f>0.6*1.18</f>
        <v>0.70799999999999996</v>
      </c>
      <c r="R149" s="58">
        <f>6.5*1.18</f>
        <v>7.67</v>
      </c>
      <c r="S149" s="58"/>
      <c r="T149" s="58"/>
      <c r="U149" s="60">
        <f>SUM(P149:T149)</f>
        <v>8.3780000000000001</v>
      </c>
      <c r="V149" s="36"/>
      <c r="X149" s="118" t="s">
        <v>200</v>
      </c>
    </row>
    <row r="150" spans="1:24" ht="66">
      <c r="A150" s="37" t="s">
        <v>527</v>
      </c>
      <c r="B150" s="172" t="s">
        <v>201</v>
      </c>
      <c r="C150" s="34" t="s">
        <v>233</v>
      </c>
      <c r="D150" s="34"/>
      <c r="E150" s="34">
        <v>2015</v>
      </c>
      <c r="F150" s="34">
        <v>2015</v>
      </c>
      <c r="G150" s="58">
        <f>20*1.18</f>
        <v>23.599999999999998</v>
      </c>
      <c r="H150" s="58">
        <f>20*1.18</f>
        <v>23.599999999999998</v>
      </c>
      <c r="I150" s="58"/>
      <c r="J150" s="34"/>
      <c r="K150" s="34"/>
      <c r="L150" s="34"/>
      <c r="M150" s="34"/>
      <c r="N150" s="34"/>
      <c r="O150" s="34"/>
      <c r="P150" s="58">
        <f>20*1.18</f>
        <v>23.599999999999998</v>
      </c>
      <c r="Q150" s="58"/>
      <c r="R150" s="58"/>
      <c r="S150" s="58"/>
      <c r="T150" s="58"/>
      <c r="U150" s="60">
        <f>SUM(P150:T150)</f>
        <v>23.599999999999998</v>
      </c>
      <c r="V150" s="36"/>
      <c r="X150" s="118" t="s">
        <v>201</v>
      </c>
    </row>
    <row r="151" spans="1:24" ht="49.5">
      <c r="A151" s="37" t="s">
        <v>528</v>
      </c>
      <c r="B151" s="32" t="s">
        <v>645</v>
      </c>
      <c r="C151" s="34" t="s">
        <v>238</v>
      </c>
      <c r="D151" s="34"/>
      <c r="E151" s="34">
        <v>2015</v>
      </c>
      <c r="F151" s="34">
        <v>2017</v>
      </c>
      <c r="G151" s="58">
        <v>136.88</v>
      </c>
      <c r="H151" s="58">
        <v>136.88</v>
      </c>
      <c r="I151" s="58"/>
      <c r="J151" s="34"/>
      <c r="K151" s="34"/>
      <c r="L151" s="34"/>
      <c r="M151" s="34"/>
      <c r="N151" s="34"/>
      <c r="O151" s="34"/>
      <c r="P151" s="58">
        <v>42.48</v>
      </c>
      <c r="Q151" s="58">
        <v>59</v>
      </c>
      <c r="R151" s="58">
        <v>35.4</v>
      </c>
      <c r="S151" s="58"/>
      <c r="T151" s="58"/>
      <c r="U151" s="60">
        <f>P151+Q151+R151+S151+T151</f>
        <v>136.88</v>
      </c>
      <c r="V151" s="36"/>
      <c r="X151" s="116" t="s">
        <v>645</v>
      </c>
    </row>
    <row r="152" spans="1:24" ht="33">
      <c r="A152" s="37" t="s">
        <v>529</v>
      </c>
      <c r="B152" s="32" t="s">
        <v>256</v>
      </c>
      <c r="C152" s="34" t="s">
        <v>85</v>
      </c>
      <c r="D152" s="67"/>
      <c r="E152" s="34">
        <v>2015</v>
      </c>
      <c r="F152" s="34">
        <v>2015</v>
      </c>
      <c r="G152" s="58">
        <v>10.62</v>
      </c>
      <c r="H152" s="58">
        <v>10.62</v>
      </c>
      <c r="I152" s="74"/>
      <c r="J152" s="34"/>
      <c r="K152" s="34"/>
      <c r="L152" s="34"/>
      <c r="M152" s="34"/>
      <c r="N152" s="34"/>
      <c r="O152" s="34"/>
      <c r="P152" s="58">
        <v>10.62</v>
      </c>
      <c r="Q152" s="58"/>
      <c r="R152" s="58"/>
      <c r="S152" s="58"/>
      <c r="T152" s="58"/>
      <c r="U152" s="60">
        <f>P152+Q152+R152+S152+T152</f>
        <v>10.62</v>
      </c>
      <c r="V152" s="36"/>
      <c r="X152" s="116" t="s">
        <v>256</v>
      </c>
    </row>
    <row r="153" spans="1:24" ht="49.5">
      <c r="A153" s="37" t="s">
        <v>530</v>
      </c>
      <c r="B153" s="32" t="s">
        <v>365</v>
      </c>
      <c r="C153" s="34" t="s">
        <v>238</v>
      </c>
      <c r="D153" s="34" t="s">
        <v>366</v>
      </c>
      <c r="E153" s="34">
        <v>2015</v>
      </c>
      <c r="F153" s="34">
        <v>2016</v>
      </c>
      <c r="G153" s="58">
        <v>15.34</v>
      </c>
      <c r="H153" s="58">
        <f>G153-I153</f>
        <v>15.34</v>
      </c>
      <c r="I153" s="58"/>
      <c r="J153" s="34"/>
      <c r="K153" s="34"/>
      <c r="L153" s="34"/>
      <c r="M153" s="34"/>
      <c r="N153" s="34"/>
      <c r="O153" s="67"/>
      <c r="P153" s="58">
        <f>5*1.18</f>
        <v>5.8999999999999995</v>
      </c>
      <c r="Q153" s="58">
        <f>8*1.18</f>
        <v>9.44</v>
      </c>
      <c r="R153" s="58"/>
      <c r="S153" s="58"/>
      <c r="T153" s="58"/>
      <c r="U153" s="60">
        <f t="shared" ref="U153:U158" si="8">SUM(P153:T153)</f>
        <v>15.34</v>
      </c>
      <c r="V153" s="36"/>
      <c r="X153" s="116" t="s">
        <v>365</v>
      </c>
    </row>
    <row r="154" spans="1:24" ht="33">
      <c r="A154" s="37" t="s">
        <v>531</v>
      </c>
      <c r="B154" s="32" t="s">
        <v>651</v>
      </c>
      <c r="C154" s="34" t="s">
        <v>238</v>
      </c>
      <c r="D154" s="34"/>
      <c r="E154" s="34">
        <v>2015</v>
      </c>
      <c r="F154" s="34">
        <v>2020</v>
      </c>
      <c r="G154" s="58">
        <v>38.35</v>
      </c>
      <c r="H154" s="58">
        <f>G154-I154</f>
        <v>38.35</v>
      </c>
      <c r="I154" s="58"/>
      <c r="J154" s="34"/>
      <c r="K154" s="34"/>
      <c r="L154" s="34"/>
      <c r="M154" s="34"/>
      <c r="N154" s="34"/>
      <c r="O154" s="67"/>
      <c r="P154" s="58">
        <f>6.5*1.18</f>
        <v>7.67</v>
      </c>
      <c r="Q154" s="58">
        <f>6.5*1.18</f>
        <v>7.67</v>
      </c>
      <c r="R154" s="58">
        <f>6.5*1.18</f>
        <v>7.67</v>
      </c>
      <c r="S154" s="58">
        <f>6.5*1.18</f>
        <v>7.67</v>
      </c>
      <c r="T154" s="58">
        <f>6.5*1.18</f>
        <v>7.67</v>
      </c>
      <c r="U154" s="60">
        <f t="shared" si="8"/>
        <v>38.35</v>
      </c>
      <c r="V154" s="36"/>
      <c r="X154" s="116" t="s">
        <v>651</v>
      </c>
    </row>
    <row r="155" spans="1:24" ht="33">
      <c r="A155" s="37" t="s">
        <v>647</v>
      </c>
      <c r="B155" s="137" t="s">
        <v>646</v>
      </c>
      <c r="C155" s="34" t="s">
        <v>238</v>
      </c>
      <c r="D155" s="48"/>
      <c r="E155" s="41">
        <v>2014</v>
      </c>
      <c r="F155" s="41">
        <v>2018</v>
      </c>
      <c r="G155" s="76">
        <v>76.7</v>
      </c>
      <c r="H155" s="78">
        <v>59</v>
      </c>
      <c r="I155" s="76">
        <v>17.7</v>
      </c>
      <c r="J155" s="42"/>
      <c r="K155" s="42"/>
      <c r="L155" s="42"/>
      <c r="M155" s="42"/>
      <c r="N155" s="42"/>
      <c r="O155" s="44"/>
      <c r="P155" s="76">
        <v>17.7</v>
      </c>
      <c r="Q155" s="76"/>
      <c r="R155" s="76">
        <v>5.9</v>
      </c>
      <c r="S155" s="58">
        <v>35.4</v>
      </c>
      <c r="T155" s="58"/>
      <c r="U155" s="60">
        <f t="shared" si="8"/>
        <v>59</v>
      </c>
      <c r="V155" s="36"/>
      <c r="X155" s="122" t="s">
        <v>646</v>
      </c>
    </row>
    <row r="156" spans="1:24" ht="33">
      <c r="A156" s="37" t="s">
        <v>689</v>
      </c>
      <c r="B156" s="32" t="s">
        <v>370</v>
      </c>
      <c r="C156" s="34" t="s">
        <v>85</v>
      </c>
      <c r="D156" s="34"/>
      <c r="E156" s="34">
        <v>2012</v>
      </c>
      <c r="F156" s="34">
        <v>2016</v>
      </c>
      <c r="G156" s="58">
        <f>68.999+80-7.399</f>
        <v>141.6</v>
      </c>
      <c r="H156" s="58">
        <f>G156-I156</f>
        <v>94.399999999999991</v>
      </c>
      <c r="I156" s="58">
        <v>47.2</v>
      </c>
      <c r="J156" s="34"/>
      <c r="K156" s="34"/>
      <c r="L156" s="34"/>
      <c r="M156" s="34"/>
      <c r="N156" s="34"/>
      <c r="O156" s="67"/>
      <c r="P156" s="58">
        <f>40*1.18</f>
        <v>47.199999999999996</v>
      </c>
      <c r="Q156" s="58">
        <f>40*1.18</f>
        <v>47.199999999999996</v>
      </c>
      <c r="R156" s="58"/>
      <c r="S156" s="58"/>
      <c r="T156" s="58"/>
      <c r="U156" s="60">
        <f t="shared" si="8"/>
        <v>94.399999999999991</v>
      </c>
      <c r="V156" s="36"/>
      <c r="X156" s="116" t="s">
        <v>370</v>
      </c>
    </row>
    <row r="157" spans="1:24" ht="66">
      <c r="A157" s="37" t="s">
        <v>690</v>
      </c>
      <c r="B157" s="32" t="s">
        <v>692</v>
      </c>
      <c r="C157" s="34" t="s">
        <v>238</v>
      </c>
      <c r="D157" s="34"/>
      <c r="E157" s="34">
        <v>2017</v>
      </c>
      <c r="F157" s="34">
        <v>2018</v>
      </c>
      <c r="G157" s="58">
        <f>8*1.18</f>
        <v>9.44</v>
      </c>
      <c r="H157" s="58">
        <f>8*1.18</f>
        <v>9.44</v>
      </c>
      <c r="I157" s="58"/>
      <c r="J157" s="34"/>
      <c r="K157" s="34"/>
      <c r="L157" s="34"/>
      <c r="M157" s="34"/>
      <c r="N157" s="34"/>
      <c r="O157" s="67"/>
      <c r="P157" s="58"/>
      <c r="Q157" s="58"/>
      <c r="R157" s="58">
        <f>2*1.18</f>
        <v>2.36</v>
      </c>
      <c r="S157" s="58">
        <f>6*1.18</f>
        <v>7.08</v>
      </c>
      <c r="T157" s="58"/>
      <c r="U157" s="60">
        <f t="shared" si="8"/>
        <v>9.44</v>
      </c>
      <c r="V157" s="36"/>
      <c r="X157" s="116" t="s">
        <v>692</v>
      </c>
    </row>
    <row r="158" spans="1:24" ht="66">
      <c r="A158" s="37" t="s">
        <v>691</v>
      </c>
      <c r="B158" s="32" t="s">
        <v>693</v>
      </c>
      <c r="C158" s="34" t="s">
        <v>238</v>
      </c>
      <c r="D158" s="34"/>
      <c r="E158" s="34">
        <v>2017</v>
      </c>
      <c r="F158" s="34">
        <v>2018</v>
      </c>
      <c r="G158" s="58">
        <f>8*1.18</f>
        <v>9.44</v>
      </c>
      <c r="H158" s="58">
        <f>8*1.18</f>
        <v>9.44</v>
      </c>
      <c r="I158" s="58"/>
      <c r="J158" s="34"/>
      <c r="K158" s="34"/>
      <c r="L158" s="34"/>
      <c r="M158" s="34"/>
      <c r="N158" s="34"/>
      <c r="O158" s="67"/>
      <c r="P158" s="58"/>
      <c r="Q158" s="58"/>
      <c r="R158" s="58">
        <f>2*1.18</f>
        <v>2.36</v>
      </c>
      <c r="S158" s="58">
        <f>6*1.18</f>
        <v>7.08</v>
      </c>
      <c r="T158" s="58"/>
      <c r="U158" s="60">
        <f t="shared" si="8"/>
        <v>9.44</v>
      </c>
      <c r="V158" s="36"/>
      <c r="X158" s="116" t="s">
        <v>693</v>
      </c>
    </row>
    <row r="159" spans="1:24" ht="66">
      <c r="A159" s="37" t="s">
        <v>714</v>
      </c>
      <c r="B159" s="32" t="s">
        <v>119</v>
      </c>
      <c r="C159" s="34" t="s">
        <v>233</v>
      </c>
      <c r="D159" s="34"/>
      <c r="E159" s="34">
        <v>2017</v>
      </c>
      <c r="F159" s="34">
        <v>2019</v>
      </c>
      <c r="G159" s="58">
        <v>12.98</v>
      </c>
      <c r="H159" s="58">
        <v>12.98</v>
      </c>
      <c r="I159" s="58"/>
      <c r="J159" s="34"/>
      <c r="K159" s="34"/>
      <c r="L159" s="34"/>
      <c r="M159" s="34"/>
      <c r="N159" s="34"/>
      <c r="O159" s="34"/>
      <c r="P159" s="58"/>
      <c r="Q159" s="58"/>
      <c r="R159" s="58">
        <v>5.9</v>
      </c>
      <c r="S159" s="58">
        <v>3.54</v>
      </c>
      <c r="T159" s="58">
        <v>3.54</v>
      </c>
      <c r="U159" s="60">
        <f>SUM(P159:T159)</f>
        <v>12.98</v>
      </c>
      <c r="V159" s="36"/>
      <c r="X159" s="116" t="s">
        <v>119</v>
      </c>
    </row>
    <row r="160" spans="1:24" ht="33">
      <c r="A160" s="37" t="s">
        <v>715</v>
      </c>
      <c r="B160" s="137" t="s">
        <v>302</v>
      </c>
      <c r="C160" s="40" t="s">
        <v>85</v>
      </c>
      <c r="D160" s="42"/>
      <c r="E160" s="41">
        <v>2016</v>
      </c>
      <c r="F160" s="41">
        <v>2016</v>
      </c>
      <c r="G160" s="76">
        <v>3.54</v>
      </c>
      <c r="H160" s="78">
        <v>3.54</v>
      </c>
      <c r="I160" s="76"/>
      <c r="J160" s="42"/>
      <c r="K160" s="42"/>
      <c r="L160" s="42"/>
      <c r="M160" s="42"/>
      <c r="N160" s="42"/>
      <c r="O160" s="44"/>
      <c r="P160" s="76"/>
      <c r="Q160" s="76">
        <v>3.54</v>
      </c>
      <c r="R160" s="76"/>
      <c r="S160" s="58"/>
      <c r="T160" s="58"/>
      <c r="U160" s="60">
        <f>SUM(P160:T160)</f>
        <v>3.54</v>
      </c>
      <c r="V160" s="36"/>
      <c r="X160" s="122" t="s">
        <v>302</v>
      </c>
    </row>
    <row r="161" spans="1:24" ht="33">
      <c r="A161" s="66" t="s">
        <v>8</v>
      </c>
      <c r="B161" s="73" t="s">
        <v>52</v>
      </c>
      <c r="C161" s="34"/>
      <c r="D161" s="34"/>
      <c r="E161" s="34"/>
      <c r="F161" s="34"/>
      <c r="G161" s="74">
        <f>SUM(G162:G179)</f>
        <v>782.1</v>
      </c>
      <c r="H161" s="74">
        <f>SUM(H162:H179)</f>
        <v>762.37700000000007</v>
      </c>
      <c r="I161" s="74">
        <f>SUM(I162:I179)</f>
        <v>19.722999999999999</v>
      </c>
      <c r="J161" s="43"/>
      <c r="K161" s="43"/>
      <c r="L161" s="43"/>
      <c r="M161" s="43"/>
      <c r="N161" s="43"/>
      <c r="O161" s="43"/>
      <c r="P161" s="74">
        <f>SUM(P162:P179)</f>
        <v>189.97999999999996</v>
      </c>
      <c r="Q161" s="74">
        <f>SUM(Q162:Q179)</f>
        <v>158.53299999999996</v>
      </c>
      <c r="R161" s="74">
        <f>SUM(R162:R179)</f>
        <v>144.91599999999997</v>
      </c>
      <c r="S161" s="74">
        <f>SUM(S162:S179)</f>
        <v>101.48</v>
      </c>
      <c r="T161" s="74">
        <f>SUM(T162:T179)</f>
        <v>67.944000000000003</v>
      </c>
      <c r="U161" s="75">
        <f>SUM(U162:U179)</f>
        <v>662.85300000000007</v>
      </c>
      <c r="V161" s="36"/>
      <c r="X161" s="123" t="s">
        <v>52</v>
      </c>
    </row>
    <row r="162" spans="1:24" ht="33">
      <c r="A162" s="37" t="s">
        <v>532</v>
      </c>
      <c r="B162" s="32" t="s">
        <v>602</v>
      </c>
      <c r="C162" s="34" t="s">
        <v>233</v>
      </c>
      <c r="D162" s="34"/>
      <c r="E162" s="34">
        <v>2014</v>
      </c>
      <c r="F162" s="34">
        <v>2018</v>
      </c>
      <c r="G162" s="58">
        <f>H162+I162</f>
        <v>102.223</v>
      </c>
      <c r="H162" s="58">
        <v>93.81</v>
      </c>
      <c r="I162" s="58">
        <f>0.448+0.767+7.198</f>
        <v>8.4130000000000003</v>
      </c>
      <c r="J162" s="34"/>
      <c r="K162" s="34"/>
      <c r="L162" s="34"/>
      <c r="M162" s="34"/>
      <c r="N162" s="34"/>
      <c r="O162" s="34"/>
      <c r="P162" s="58">
        <v>31.86</v>
      </c>
      <c r="Q162" s="58">
        <v>39.53</v>
      </c>
      <c r="R162" s="58">
        <v>10.62</v>
      </c>
      <c r="S162" s="58">
        <v>11.8</v>
      </c>
      <c r="T162" s="58"/>
      <c r="U162" s="60">
        <f t="shared" ref="U162:U167" si="9">SUM(P162:T162)</f>
        <v>93.81</v>
      </c>
      <c r="V162" s="36"/>
      <c r="X162" s="116" t="s">
        <v>602</v>
      </c>
    </row>
    <row r="163" spans="1:24" ht="115.5">
      <c r="A163" s="37" t="s">
        <v>533</v>
      </c>
      <c r="B163" s="54" t="s">
        <v>202</v>
      </c>
      <c r="C163" s="34" t="s">
        <v>233</v>
      </c>
      <c r="D163" s="34"/>
      <c r="E163" s="34">
        <v>2015</v>
      </c>
      <c r="F163" s="34">
        <v>2016</v>
      </c>
      <c r="G163" s="58">
        <f>5*1.18</f>
        <v>5.8999999999999995</v>
      </c>
      <c r="H163" s="58">
        <f>5*1.18</f>
        <v>5.8999999999999995</v>
      </c>
      <c r="I163" s="58"/>
      <c r="J163" s="34"/>
      <c r="K163" s="34"/>
      <c r="L163" s="34"/>
      <c r="M163" s="34"/>
      <c r="N163" s="34"/>
      <c r="O163" s="34"/>
      <c r="P163" s="58">
        <f>2*1.18</f>
        <v>2.36</v>
      </c>
      <c r="Q163" s="58">
        <f>3*1.18</f>
        <v>3.54</v>
      </c>
      <c r="R163" s="58"/>
      <c r="S163" s="58"/>
      <c r="T163" s="58"/>
      <c r="U163" s="60">
        <f t="shared" si="9"/>
        <v>5.9</v>
      </c>
      <c r="V163" s="36"/>
      <c r="X163" s="119" t="s">
        <v>202</v>
      </c>
    </row>
    <row r="164" spans="1:24" ht="115.5">
      <c r="A164" s="37" t="s">
        <v>534</v>
      </c>
      <c r="B164" s="54" t="s">
        <v>203</v>
      </c>
      <c r="C164" s="34" t="s">
        <v>233</v>
      </c>
      <c r="D164" s="34"/>
      <c r="E164" s="34">
        <v>2015</v>
      </c>
      <c r="F164" s="34">
        <v>2019</v>
      </c>
      <c r="G164" s="58">
        <f>31.3*1.18</f>
        <v>36.933999999999997</v>
      </c>
      <c r="H164" s="58">
        <f>31.3*1.18</f>
        <v>36.933999999999997</v>
      </c>
      <c r="I164" s="58"/>
      <c r="J164" s="34"/>
      <c r="K164" s="34"/>
      <c r="L164" s="34"/>
      <c r="M164" s="34"/>
      <c r="N164" s="34"/>
      <c r="O164" s="34"/>
      <c r="P164" s="58">
        <f>1.5*1.18</f>
        <v>1.77</v>
      </c>
      <c r="Q164" s="58">
        <f>17.8*1.18</f>
        <v>21.004000000000001</v>
      </c>
      <c r="R164" s="58">
        <f>3.5*1.18</f>
        <v>4.13</v>
      </c>
      <c r="S164" s="58">
        <f>0.6*1.18</f>
        <v>0.70799999999999996</v>
      </c>
      <c r="T164" s="58">
        <f>7.9*1.18</f>
        <v>9.3219999999999992</v>
      </c>
      <c r="U164" s="60">
        <f t="shared" si="9"/>
        <v>36.933999999999997</v>
      </c>
      <c r="V164" s="36"/>
      <c r="X164" s="119" t="s">
        <v>203</v>
      </c>
    </row>
    <row r="165" spans="1:24" ht="66">
      <c r="A165" s="37" t="s">
        <v>535</v>
      </c>
      <c r="B165" s="54" t="s">
        <v>204</v>
      </c>
      <c r="C165" s="34" t="s">
        <v>233</v>
      </c>
      <c r="D165" s="34"/>
      <c r="E165" s="34">
        <v>2015</v>
      </c>
      <c r="F165" s="34">
        <v>2019</v>
      </c>
      <c r="G165" s="58">
        <f>17.5*1.18</f>
        <v>20.65</v>
      </c>
      <c r="H165" s="58">
        <f>17.5*1.18</f>
        <v>20.65</v>
      </c>
      <c r="I165" s="58"/>
      <c r="J165" s="34"/>
      <c r="K165" s="34"/>
      <c r="L165" s="34"/>
      <c r="M165" s="34"/>
      <c r="N165" s="34"/>
      <c r="O165" s="34"/>
      <c r="P165" s="58">
        <f>0.3*1.18</f>
        <v>0.35399999999999998</v>
      </c>
      <c r="Q165" s="58">
        <f>3.5*1.18</f>
        <v>4.13</v>
      </c>
      <c r="R165" s="58">
        <f>3.8*1.18</f>
        <v>4.484</v>
      </c>
      <c r="S165" s="58">
        <f>6.7*1.18</f>
        <v>7.9059999999999997</v>
      </c>
      <c r="T165" s="58">
        <f>3.2*1.18</f>
        <v>3.7759999999999998</v>
      </c>
      <c r="U165" s="60">
        <f t="shared" si="9"/>
        <v>20.65</v>
      </c>
      <c r="V165" s="36"/>
      <c r="X165" s="119" t="s">
        <v>204</v>
      </c>
    </row>
    <row r="166" spans="1:24" ht="49.5">
      <c r="A166" s="37" t="s">
        <v>536</v>
      </c>
      <c r="B166" s="54" t="s">
        <v>205</v>
      </c>
      <c r="C166" s="34" t="s">
        <v>233</v>
      </c>
      <c r="D166" s="34"/>
      <c r="E166" s="34">
        <v>2017</v>
      </c>
      <c r="F166" s="34">
        <v>2019</v>
      </c>
      <c r="G166" s="58">
        <f>3*1.18</f>
        <v>3.54</v>
      </c>
      <c r="H166" s="58">
        <f>3*1.18</f>
        <v>3.54</v>
      </c>
      <c r="I166" s="58"/>
      <c r="J166" s="34"/>
      <c r="K166" s="34"/>
      <c r="L166" s="34"/>
      <c r="M166" s="34"/>
      <c r="N166" s="34"/>
      <c r="O166" s="34"/>
      <c r="P166" s="58"/>
      <c r="Q166" s="58"/>
      <c r="R166" s="58">
        <f>1*1.18</f>
        <v>1.18</v>
      </c>
      <c r="S166" s="58">
        <f>1*1.18</f>
        <v>1.18</v>
      </c>
      <c r="T166" s="58">
        <f>1*1.18</f>
        <v>1.18</v>
      </c>
      <c r="U166" s="60">
        <f t="shared" si="9"/>
        <v>3.54</v>
      </c>
      <c r="V166" s="36"/>
      <c r="X166" s="119" t="s">
        <v>205</v>
      </c>
    </row>
    <row r="167" spans="1:24" ht="82.5">
      <c r="A167" s="37" t="s">
        <v>537</v>
      </c>
      <c r="B167" s="54" t="s">
        <v>206</v>
      </c>
      <c r="C167" s="34" t="s">
        <v>233</v>
      </c>
      <c r="D167" s="34"/>
      <c r="E167" s="34">
        <v>2015</v>
      </c>
      <c r="F167" s="34">
        <v>2019</v>
      </c>
      <c r="G167" s="58">
        <f>60*1.18</f>
        <v>70.8</v>
      </c>
      <c r="H167" s="58">
        <f>60*1.18</f>
        <v>70.8</v>
      </c>
      <c r="I167" s="58"/>
      <c r="J167" s="34"/>
      <c r="K167" s="34"/>
      <c r="L167" s="34"/>
      <c r="M167" s="34"/>
      <c r="N167" s="34"/>
      <c r="O167" s="34"/>
      <c r="P167" s="58">
        <f>2.7*1.18</f>
        <v>3.1859999999999999</v>
      </c>
      <c r="Q167" s="58">
        <f>14.2*1.18</f>
        <v>16.755999999999997</v>
      </c>
      <c r="R167" s="58">
        <f>17.7*1.18</f>
        <v>20.885999999999999</v>
      </c>
      <c r="S167" s="58">
        <f>12.7*1.18</f>
        <v>14.985999999999999</v>
      </c>
      <c r="T167" s="58">
        <f>12.7*1.18</f>
        <v>14.985999999999999</v>
      </c>
      <c r="U167" s="60">
        <f t="shared" si="9"/>
        <v>70.8</v>
      </c>
      <c r="V167" s="36"/>
      <c r="X167" s="119" t="s">
        <v>206</v>
      </c>
    </row>
    <row r="168" spans="1:24" ht="33">
      <c r="A168" s="37" t="s">
        <v>538</v>
      </c>
      <c r="B168" s="32" t="s">
        <v>606</v>
      </c>
      <c r="C168" s="34" t="s">
        <v>233</v>
      </c>
      <c r="D168" s="34"/>
      <c r="E168" s="34">
        <v>2015</v>
      </c>
      <c r="F168" s="34">
        <v>2017</v>
      </c>
      <c r="G168" s="58">
        <v>47.317999999999998</v>
      </c>
      <c r="H168" s="58">
        <v>47.317999999999998</v>
      </c>
      <c r="I168" s="58"/>
      <c r="J168" s="34"/>
      <c r="K168" s="34"/>
      <c r="L168" s="34"/>
      <c r="M168" s="34"/>
      <c r="N168" s="34"/>
      <c r="O168" s="34"/>
      <c r="P168" s="58">
        <v>23.6</v>
      </c>
      <c r="Q168" s="58"/>
      <c r="R168" s="58">
        <v>23.718</v>
      </c>
      <c r="S168" s="58"/>
      <c r="T168" s="58"/>
      <c r="U168" s="60">
        <v>47.317999999999998</v>
      </c>
      <c r="V168" s="36"/>
      <c r="X168" s="116" t="s">
        <v>606</v>
      </c>
    </row>
    <row r="169" spans="1:24" ht="33">
      <c r="A169" s="37" t="s">
        <v>539</v>
      </c>
      <c r="B169" s="32" t="s">
        <v>603</v>
      </c>
      <c r="C169" s="34" t="s">
        <v>238</v>
      </c>
      <c r="D169" s="34"/>
      <c r="E169" s="34">
        <v>2015</v>
      </c>
      <c r="F169" s="34">
        <v>2017</v>
      </c>
      <c r="G169" s="58">
        <v>88.5</v>
      </c>
      <c r="H169" s="58">
        <v>88.5</v>
      </c>
      <c r="I169" s="58"/>
      <c r="J169" s="34"/>
      <c r="K169" s="34"/>
      <c r="L169" s="34"/>
      <c r="M169" s="34"/>
      <c r="N169" s="34"/>
      <c r="O169" s="34"/>
      <c r="P169" s="58">
        <v>29.5</v>
      </c>
      <c r="Q169" s="58">
        <v>29.5</v>
      </c>
      <c r="R169" s="58">
        <v>29.5</v>
      </c>
      <c r="S169" s="58"/>
      <c r="T169" s="58"/>
      <c r="U169" s="60">
        <f>P169+Q169+R169+S169+T169</f>
        <v>88.5</v>
      </c>
      <c r="V169" s="36"/>
      <c r="X169" s="116" t="s">
        <v>603</v>
      </c>
    </row>
    <row r="170" spans="1:24" ht="49.5">
      <c r="A170" s="37" t="s">
        <v>540</v>
      </c>
      <c r="B170" s="32" t="s">
        <v>257</v>
      </c>
      <c r="C170" s="34" t="s">
        <v>238</v>
      </c>
      <c r="D170" s="34"/>
      <c r="E170" s="34">
        <v>2017</v>
      </c>
      <c r="F170" s="34">
        <v>2018</v>
      </c>
      <c r="G170" s="58">
        <v>33.04</v>
      </c>
      <c r="H170" s="58">
        <v>33.04</v>
      </c>
      <c r="I170" s="58"/>
      <c r="J170" s="34"/>
      <c r="K170" s="34"/>
      <c r="L170" s="34"/>
      <c r="M170" s="34"/>
      <c r="N170" s="34"/>
      <c r="O170" s="34"/>
      <c r="P170" s="58"/>
      <c r="Q170" s="58"/>
      <c r="R170" s="58">
        <v>3.54</v>
      </c>
      <c r="S170" s="58">
        <v>29.5</v>
      </c>
      <c r="T170" s="58"/>
      <c r="U170" s="60">
        <f>P170+Q170+R170+S170+T170</f>
        <v>33.04</v>
      </c>
      <c r="V170" s="36"/>
      <c r="X170" s="116" t="s">
        <v>257</v>
      </c>
    </row>
    <row r="171" spans="1:24" ht="33">
      <c r="A171" s="37" t="s">
        <v>541</v>
      </c>
      <c r="B171" s="32" t="s">
        <v>258</v>
      </c>
      <c r="C171" s="34" t="s">
        <v>85</v>
      </c>
      <c r="D171" s="34"/>
      <c r="E171" s="34">
        <v>2017</v>
      </c>
      <c r="F171" s="34">
        <v>2019</v>
      </c>
      <c r="G171" s="58">
        <v>11.257</v>
      </c>
      <c r="H171" s="58">
        <v>11.257</v>
      </c>
      <c r="I171" s="58"/>
      <c r="J171" s="34"/>
      <c r="K171" s="34"/>
      <c r="L171" s="34"/>
      <c r="M171" s="34"/>
      <c r="N171" s="34"/>
      <c r="O171" s="34"/>
      <c r="P171" s="58"/>
      <c r="Q171" s="58"/>
      <c r="R171" s="58">
        <v>2.077</v>
      </c>
      <c r="S171" s="58">
        <v>2.95</v>
      </c>
      <c r="T171" s="58">
        <v>6.23</v>
      </c>
      <c r="U171" s="60">
        <f>P171+Q171+R171+S171+T171</f>
        <v>11.257000000000001</v>
      </c>
      <c r="V171" s="36"/>
      <c r="X171" s="116" t="s">
        <v>258</v>
      </c>
    </row>
    <row r="172" spans="1:24" ht="33">
      <c r="A172" s="37" t="s">
        <v>542</v>
      </c>
      <c r="B172" s="32" t="s">
        <v>259</v>
      </c>
      <c r="C172" s="34" t="s">
        <v>85</v>
      </c>
      <c r="D172" s="34"/>
      <c r="E172" s="34">
        <v>2017</v>
      </c>
      <c r="F172" s="34">
        <v>2017</v>
      </c>
      <c r="G172" s="58">
        <v>2.891</v>
      </c>
      <c r="H172" s="58">
        <v>2.891</v>
      </c>
      <c r="I172" s="58"/>
      <c r="J172" s="34"/>
      <c r="K172" s="34"/>
      <c r="L172" s="34"/>
      <c r="M172" s="34"/>
      <c r="N172" s="34"/>
      <c r="O172" s="34"/>
      <c r="P172" s="58"/>
      <c r="Q172" s="58"/>
      <c r="R172" s="58">
        <v>2.891</v>
      </c>
      <c r="S172" s="58"/>
      <c r="T172" s="58"/>
      <c r="U172" s="60">
        <f>P172+Q172+R172+S172+T172</f>
        <v>2.891</v>
      </c>
      <c r="V172" s="36"/>
      <c r="X172" s="116" t="s">
        <v>259</v>
      </c>
    </row>
    <row r="173" spans="1:24" ht="66">
      <c r="A173" s="37" t="s">
        <v>543</v>
      </c>
      <c r="B173" s="32" t="s">
        <v>260</v>
      </c>
      <c r="C173" s="34" t="s">
        <v>85</v>
      </c>
      <c r="D173" s="34"/>
      <c r="E173" s="34">
        <v>2016</v>
      </c>
      <c r="F173" s="34">
        <v>2016</v>
      </c>
      <c r="G173" s="58">
        <v>2.1829999999999998</v>
      </c>
      <c r="H173" s="58">
        <v>2.1829999999999998</v>
      </c>
      <c r="I173" s="58"/>
      <c r="J173" s="34"/>
      <c r="K173" s="34"/>
      <c r="L173" s="34"/>
      <c r="M173" s="34"/>
      <c r="N173" s="34"/>
      <c r="O173" s="34"/>
      <c r="P173" s="58"/>
      <c r="Q173" s="58">
        <v>2.1829999999999998</v>
      </c>
      <c r="R173" s="58"/>
      <c r="S173" s="58"/>
      <c r="T173" s="58"/>
      <c r="U173" s="60">
        <f>P173+Q173+R173+S173+T173</f>
        <v>2.1829999999999998</v>
      </c>
      <c r="V173" s="36"/>
      <c r="X173" s="116" t="s">
        <v>260</v>
      </c>
    </row>
    <row r="174" spans="1:24" ht="33">
      <c r="A174" s="37" t="s">
        <v>544</v>
      </c>
      <c r="B174" s="137" t="s">
        <v>694</v>
      </c>
      <c r="C174" s="40" t="s">
        <v>85</v>
      </c>
      <c r="D174" s="48"/>
      <c r="E174" s="41">
        <v>2015</v>
      </c>
      <c r="F174" s="41">
        <v>2019</v>
      </c>
      <c r="G174" s="76">
        <v>47.2</v>
      </c>
      <c r="H174" s="78">
        <v>47.2</v>
      </c>
      <c r="I174" s="76"/>
      <c r="J174" s="42"/>
      <c r="K174" s="42"/>
      <c r="L174" s="42"/>
      <c r="M174" s="42"/>
      <c r="N174" s="42"/>
      <c r="O174" s="42"/>
      <c r="P174" s="76">
        <v>9.44</v>
      </c>
      <c r="Q174" s="76">
        <v>9.44</v>
      </c>
      <c r="R174" s="76">
        <v>9.44</v>
      </c>
      <c r="S174" s="76">
        <v>9.44</v>
      </c>
      <c r="T174" s="76">
        <v>9.44</v>
      </c>
      <c r="U174" s="60">
        <f t="shared" ref="U174:U179" si="10">SUM(P174:T174)</f>
        <v>47.199999999999996</v>
      </c>
      <c r="V174" s="36"/>
      <c r="X174" s="122" t="s">
        <v>694</v>
      </c>
    </row>
    <row r="175" spans="1:24" ht="33">
      <c r="A175" s="37" t="s">
        <v>545</v>
      </c>
      <c r="B175" s="32" t="s">
        <v>605</v>
      </c>
      <c r="C175" s="34" t="s">
        <v>238</v>
      </c>
      <c r="D175" s="48"/>
      <c r="E175" s="41">
        <v>2015</v>
      </c>
      <c r="F175" s="41">
        <v>2017</v>
      </c>
      <c r="G175" s="76">
        <v>28.32</v>
      </c>
      <c r="H175" s="78">
        <v>28.32</v>
      </c>
      <c r="I175" s="76"/>
      <c r="J175" s="42"/>
      <c r="K175" s="42"/>
      <c r="L175" s="42"/>
      <c r="M175" s="42"/>
      <c r="N175" s="42"/>
      <c r="O175" s="42"/>
      <c r="P175" s="76">
        <v>9.44</v>
      </c>
      <c r="Q175" s="76">
        <v>9.44</v>
      </c>
      <c r="R175" s="76">
        <v>9.44</v>
      </c>
      <c r="S175" s="74"/>
      <c r="T175" s="74"/>
      <c r="U175" s="60">
        <f t="shared" si="10"/>
        <v>28.32</v>
      </c>
      <c r="V175" s="36"/>
      <c r="X175" s="116" t="s">
        <v>605</v>
      </c>
    </row>
    <row r="176" spans="1:24" ht="33">
      <c r="A176" s="37" t="s">
        <v>546</v>
      </c>
      <c r="B176" s="32" t="s">
        <v>604</v>
      </c>
      <c r="C176" s="34" t="s">
        <v>85</v>
      </c>
      <c r="D176" s="34"/>
      <c r="E176" s="34">
        <v>2014</v>
      </c>
      <c r="F176" s="34">
        <v>2020</v>
      </c>
      <c r="G176" s="58">
        <f>22.874+32.5</f>
        <v>55.373999999999995</v>
      </c>
      <c r="H176" s="58">
        <f>G176-I176</f>
        <v>44.063999999999993</v>
      </c>
      <c r="I176" s="58">
        <v>11.31</v>
      </c>
      <c r="J176" s="34"/>
      <c r="K176" s="34"/>
      <c r="L176" s="34"/>
      <c r="M176" s="34"/>
      <c r="N176" s="34"/>
      <c r="O176" s="67"/>
      <c r="P176" s="58">
        <f>6.5*1.18</f>
        <v>7.67</v>
      </c>
      <c r="Q176" s="58">
        <f t="shared" ref="Q176:T178" si="11">6.5*1.18</f>
        <v>7.67</v>
      </c>
      <c r="R176" s="58">
        <f t="shared" si="11"/>
        <v>7.67</v>
      </c>
      <c r="S176" s="58">
        <f t="shared" si="11"/>
        <v>7.67</v>
      </c>
      <c r="T176" s="58">
        <f t="shared" si="11"/>
        <v>7.67</v>
      </c>
      <c r="U176" s="60">
        <f t="shared" si="10"/>
        <v>38.35</v>
      </c>
      <c r="V176" s="36"/>
      <c r="X176" s="116" t="s">
        <v>604</v>
      </c>
    </row>
    <row r="177" spans="1:24" ht="33">
      <c r="A177" s="37" t="s">
        <v>547</v>
      </c>
      <c r="B177" s="32" t="s">
        <v>367</v>
      </c>
      <c r="C177" s="34" t="s">
        <v>85</v>
      </c>
      <c r="D177" s="34"/>
      <c r="E177" s="34">
        <v>2015</v>
      </c>
      <c r="F177" s="34">
        <v>2021</v>
      </c>
      <c r="G177" s="58">
        <v>132.16</v>
      </c>
      <c r="H177" s="58">
        <f>G177-I177</f>
        <v>132.16</v>
      </c>
      <c r="I177" s="58"/>
      <c r="J177" s="34"/>
      <c r="K177" s="34"/>
      <c r="L177" s="34"/>
      <c r="M177" s="34"/>
      <c r="N177" s="34"/>
      <c r="O177" s="67"/>
      <c r="P177" s="58">
        <f>6.5*1.18</f>
        <v>7.67</v>
      </c>
      <c r="Q177" s="58">
        <f t="shared" si="11"/>
        <v>7.67</v>
      </c>
      <c r="R177" s="58">
        <f t="shared" si="11"/>
        <v>7.67</v>
      </c>
      <c r="S177" s="58">
        <f t="shared" si="11"/>
        <v>7.67</v>
      </c>
      <c r="T177" s="58">
        <f t="shared" si="11"/>
        <v>7.67</v>
      </c>
      <c r="U177" s="60">
        <f t="shared" si="10"/>
        <v>38.35</v>
      </c>
      <c r="V177" s="36"/>
      <c r="X177" s="116" t="s">
        <v>367</v>
      </c>
    </row>
    <row r="178" spans="1:24" ht="33">
      <c r="A178" s="37" t="s">
        <v>548</v>
      </c>
      <c r="B178" s="32" t="s">
        <v>368</v>
      </c>
      <c r="C178" s="34" t="s">
        <v>85</v>
      </c>
      <c r="D178" s="34"/>
      <c r="E178" s="34">
        <v>2015</v>
      </c>
      <c r="F178" s="34">
        <v>2019</v>
      </c>
      <c r="G178" s="58">
        <v>38.35</v>
      </c>
      <c r="H178" s="58">
        <f>G178-I178</f>
        <v>38.35</v>
      </c>
      <c r="I178" s="58"/>
      <c r="J178" s="34"/>
      <c r="K178" s="34"/>
      <c r="L178" s="34"/>
      <c r="M178" s="34"/>
      <c r="N178" s="34"/>
      <c r="O178" s="67"/>
      <c r="P178" s="58">
        <f>6.5*1.18</f>
        <v>7.67</v>
      </c>
      <c r="Q178" s="58">
        <f t="shared" si="11"/>
        <v>7.67</v>
      </c>
      <c r="R178" s="58">
        <f t="shared" si="11"/>
        <v>7.67</v>
      </c>
      <c r="S178" s="58">
        <f t="shared" si="11"/>
        <v>7.67</v>
      </c>
      <c r="T178" s="58">
        <f t="shared" si="11"/>
        <v>7.67</v>
      </c>
      <c r="U178" s="60">
        <f t="shared" si="10"/>
        <v>38.35</v>
      </c>
      <c r="V178" s="36"/>
      <c r="X178" s="116" t="s">
        <v>368</v>
      </c>
    </row>
    <row r="179" spans="1:24" ht="16.5">
      <c r="A179" s="37" t="s">
        <v>661</v>
      </c>
      <c r="B179" s="32" t="s">
        <v>352</v>
      </c>
      <c r="C179" s="34" t="s">
        <v>85</v>
      </c>
      <c r="D179" s="34"/>
      <c r="E179" s="34">
        <v>2015</v>
      </c>
      <c r="F179" s="34">
        <v>2015</v>
      </c>
      <c r="G179" s="58">
        <v>55.46</v>
      </c>
      <c r="H179" s="58">
        <f>G179-I179</f>
        <v>55.46</v>
      </c>
      <c r="I179" s="58"/>
      <c r="J179" s="34"/>
      <c r="K179" s="34"/>
      <c r="L179" s="34"/>
      <c r="M179" s="34"/>
      <c r="N179" s="34"/>
      <c r="O179" s="34"/>
      <c r="P179" s="58">
        <f>47*1.18</f>
        <v>55.459999999999994</v>
      </c>
      <c r="Q179" s="58"/>
      <c r="R179" s="58"/>
      <c r="S179" s="58"/>
      <c r="T179" s="58"/>
      <c r="U179" s="60">
        <f t="shared" si="10"/>
        <v>55.459999999999994</v>
      </c>
      <c r="V179" s="36"/>
      <c r="X179" s="116" t="s">
        <v>352</v>
      </c>
    </row>
    <row r="180" spans="1:24" ht="66">
      <c r="A180" s="66" t="s">
        <v>17</v>
      </c>
      <c r="B180" s="73" t="s">
        <v>53</v>
      </c>
      <c r="C180" s="34"/>
      <c r="D180" s="34"/>
      <c r="E180" s="34"/>
      <c r="F180" s="34"/>
      <c r="G180" s="74">
        <f>SUM(G181:G181)</f>
        <v>100.3</v>
      </c>
      <c r="H180" s="74">
        <f>SUM(H181:H181)</f>
        <v>100.3</v>
      </c>
      <c r="I180" s="74"/>
      <c r="J180" s="35"/>
      <c r="K180" s="35"/>
      <c r="L180" s="35"/>
      <c r="M180" s="35"/>
      <c r="N180" s="35"/>
      <c r="O180" s="35"/>
      <c r="P180" s="74">
        <f t="shared" ref="P180:U180" si="12">SUM(P181:P181)</f>
        <v>20.059999999999999</v>
      </c>
      <c r="Q180" s="74">
        <f t="shared" si="12"/>
        <v>20.059999999999999</v>
      </c>
      <c r="R180" s="74">
        <f t="shared" si="12"/>
        <v>20.059999999999999</v>
      </c>
      <c r="S180" s="74">
        <f t="shared" si="12"/>
        <v>20.059999999999999</v>
      </c>
      <c r="T180" s="74">
        <f t="shared" si="12"/>
        <v>20.059999999999999</v>
      </c>
      <c r="U180" s="75">
        <f t="shared" si="12"/>
        <v>100.3</v>
      </c>
      <c r="V180" s="36"/>
      <c r="X180" s="123" t="s">
        <v>53</v>
      </c>
    </row>
    <row r="181" spans="1:24" ht="16.5">
      <c r="A181" s="37" t="s">
        <v>549</v>
      </c>
      <c r="B181" s="32" t="s">
        <v>369</v>
      </c>
      <c r="C181" s="34" t="s">
        <v>85</v>
      </c>
      <c r="D181" s="34"/>
      <c r="E181" s="34">
        <v>2015</v>
      </c>
      <c r="F181" s="34">
        <v>2019</v>
      </c>
      <c r="G181" s="58">
        <v>100.3</v>
      </c>
      <c r="H181" s="58">
        <f>G181-I181</f>
        <v>100.3</v>
      </c>
      <c r="I181" s="58"/>
      <c r="J181" s="34"/>
      <c r="K181" s="34"/>
      <c r="L181" s="34"/>
      <c r="M181" s="34"/>
      <c r="N181" s="34"/>
      <c r="O181" s="67"/>
      <c r="P181" s="58">
        <f>17*1.18</f>
        <v>20.059999999999999</v>
      </c>
      <c r="Q181" s="58">
        <f>17*1.18</f>
        <v>20.059999999999999</v>
      </c>
      <c r="R181" s="58">
        <f>17*1.18</f>
        <v>20.059999999999999</v>
      </c>
      <c r="S181" s="58">
        <f>17*1.18</f>
        <v>20.059999999999999</v>
      </c>
      <c r="T181" s="58">
        <f>17*1.18</f>
        <v>20.059999999999999</v>
      </c>
      <c r="U181" s="60">
        <f>SUM(P181:T181)</f>
        <v>100.3</v>
      </c>
      <c r="V181" s="36"/>
      <c r="X181" s="116" t="s">
        <v>369</v>
      </c>
    </row>
    <row r="182" spans="1:24" ht="33">
      <c r="A182" s="66" t="s">
        <v>56</v>
      </c>
      <c r="B182" s="73" t="s">
        <v>713</v>
      </c>
      <c r="C182" s="34"/>
      <c r="D182" s="34"/>
      <c r="E182" s="34"/>
      <c r="F182" s="34"/>
      <c r="G182" s="74">
        <f>SUM(G183:G195)</f>
        <v>116.11199999999999</v>
      </c>
      <c r="H182" s="74">
        <f>SUM(H183:H195)</f>
        <v>116.11199999999999</v>
      </c>
      <c r="I182" s="74">
        <f>SUM(I183:I195)</f>
        <v>0</v>
      </c>
      <c r="J182" s="67"/>
      <c r="K182" s="67"/>
      <c r="L182" s="67"/>
      <c r="M182" s="67"/>
      <c r="N182" s="67"/>
      <c r="O182" s="67"/>
      <c r="P182" s="74">
        <f t="shared" ref="P182:U182" si="13">SUM(P183:P195)</f>
        <v>9.44</v>
      </c>
      <c r="Q182" s="74">
        <f t="shared" si="13"/>
        <v>65.843999999999994</v>
      </c>
      <c r="R182" s="74">
        <f t="shared" si="13"/>
        <v>27.847999999999999</v>
      </c>
      <c r="S182" s="74">
        <f t="shared" si="13"/>
        <v>12.98</v>
      </c>
      <c r="T182" s="74">
        <f t="shared" si="13"/>
        <v>0</v>
      </c>
      <c r="U182" s="74">
        <f t="shared" si="13"/>
        <v>116.11200000000001</v>
      </c>
      <c r="V182" s="36"/>
      <c r="X182" s="123" t="s">
        <v>713</v>
      </c>
    </row>
    <row r="183" spans="1:24" ht="33">
      <c r="A183" s="37" t="s">
        <v>662</v>
      </c>
      <c r="B183" s="32" t="s">
        <v>101</v>
      </c>
      <c r="C183" s="34" t="s">
        <v>85</v>
      </c>
      <c r="D183" s="34"/>
      <c r="E183" s="34">
        <v>2015</v>
      </c>
      <c r="F183" s="34">
        <v>2015</v>
      </c>
      <c r="G183" s="58">
        <v>2.36</v>
      </c>
      <c r="H183" s="58">
        <v>2.36</v>
      </c>
      <c r="I183" s="58"/>
      <c r="J183" s="34"/>
      <c r="K183" s="34"/>
      <c r="L183" s="34"/>
      <c r="M183" s="34"/>
      <c r="N183" s="34"/>
      <c r="O183" s="34"/>
      <c r="P183" s="58">
        <v>2.36</v>
      </c>
      <c r="Q183" s="58"/>
      <c r="R183" s="58"/>
      <c r="S183" s="58"/>
      <c r="T183" s="58"/>
      <c r="U183" s="60">
        <f t="shared" ref="U183:U195" si="14">SUM(P183:T183)</f>
        <v>2.36</v>
      </c>
      <c r="V183" s="36"/>
      <c r="X183" s="116" t="s">
        <v>101</v>
      </c>
    </row>
    <row r="184" spans="1:24" ht="49.5">
      <c r="A184" s="37" t="s">
        <v>663</v>
      </c>
      <c r="B184" s="32" t="s">
        <v>102</v>
      </c>
      <c r="C184" s="34" t="s">
        <v>233</v>
      </c>
      <c r="D184" s="34"/>
      <c r="E184" s="34">
        <v>2015</v>
      </c>
      <c r="F184" s="34">
        <v>2015</v>
      </c>
      <c r="G184" s="58">
        <v>3.54</v>
      </c>
      <c r="H184" s="58">
        <v>3.54</v>
      </c>
      <c r="I184" s="58"/>
      <c r="J184" s="34"/>
      <c r="K184" s="34"/>
      <c r="L184" s="34"/>
      <c r="M184" s="34"/>
      <c r="N184" s="34"/>
      <c r="O184" s="34"/>
      <c r="P184" s="58">
        <v>3.54</v>
      </c>
      <c r="Q184" s="58"/>
      <c r="R184" s="58"/>
      <c r="S184" s="58"/>
      <c r="T184" s="58"/>
      <c r="U184" s="60">
        <f t="shared" si="14"/>
        <v>3.54</v>
      </c>
      <c r="V184" s="36"/>
      <c r="X184" s="116" t="s">
        <v>102</v>
      </c>
    </row>
    <row r="185" spans="1:24" ht="49.5">
      <c r="A185" s="37" t="s">
        <v>664</v>
      </c>
      <c r="B185" s="32" t="s">
        <v>103</v>
      </c>
      <c r="C185" s="34" t="s">
        <v>233</v>
      </c>
      <c r="D185" s="34"/>
      <c r="E185" s="34">
        <v>2015</v>
      </c>
      <c r="F185" s="34">
        <v>2016</v>
      </c>
      <c r="G185" s="58">
        <v>7.08</v>
      </c>
      <c r="H185" s="58">
        <v>7.08</v>
      </c>
      <c r="I185" s="58"/>
      <c r="J185" s="34"/>
      <c r="K185" s="34"/>
      <c r="L185" s="34"/>
      <c r="M185" s="34"/>
      <c r="N185" s="34"/>
      <c r="O185" s="34"/>
      <c r="P185" s="58">
        <v>1.18</v>
      </c>
      <c r="Q185" s="58">
        <v>5.9</v>
      </c>
      <c r="R185" s="58"/>
      <c r="S185" s="58"/>
      <c r="T185" s="58"/>
      <c r="U185" s="60">
        <f t="shared" si="14"/>
        <v>7.08</v>
      </c>
      <c r="V185" s="36"/>
      <c r="X185" s="116" t="s">
        <v>103</v>
      </c>
    </row>
    <row r="186" spans="1:24" ht="82.5">
      <c r="A186" s="37" t="s">
        <v>665</v>
      </c>
      <c r="B186" s="32" t="s">
        <v>104</v>
      </c>
      <c r="C186" s="34" t="s">
        <v>233</v>
      </c>
      <c r="D186" s="34"/>
      <c r="E186" s="34">
        <v>2015</v>
      </c>
      <c r="F186" s="34">
        <v>2016</v>
      </c>
      <c r="G186" s="58">
        <v>12.98</v>
      </c>
      <c r="H186" s="58">
        <v>12.98</v>
      </c>
      <c r="I186" s="58"/>
      <c r="J186" s="34"/>
      <c r="K186" s="34"/>
      <c r="L186" s="34"/>
      <c r="M186" s="34"/>
      <c r="N186" s="34"/>
      <c r="O186" s="34"/>
      <c r="P186" s="58">
        <v>1.18</v>
      </c>
      <c r="Q186" s="58">
        <v>11.8</v>
      </c>
      <c r="R186" s="58"/>
      <c r="S186" s="58"/>
      <c r="T186" s="58"/>
      <c r="U186" s="60">
        <f t="shared" si="14"/>
        <v>12.98</v>
      </c>
      <c r="V186" s="36"/>
      <c r="X186" s="116" t="s">
        <v>104</v>
      </c>
    </row>
    <row r="187" spans="1:24" ht="66">
      <c r="A187" s="37" t="s">
        <v>666</v>
      </c>
      <c r="B187" s="32" t="s">
        <v>105</v>
      </c>
      <c r="C187" s="34" t="s">
        <v>233</v>
      </c>
      <c r="D187" s="34"/>
      <c r="E187" s="34">
        <v>2015</v>
      </c>
      <c r="F187" s="34">
        <v>2016</v>
      </c>
      <c r="G187" s="58">
        <v>7.67</v>
      </c>
      <c r="H187" s="58">
        <v>7.67</v>
      </c>
      <c r="I187" s="58"/>
      <c r="J187" s="34"/>
      <c r="K187" s="34"/>
      <c r="L187" s="34"/>
      <c r="M187" s="34"/>
      <c r="N187" s="34"/>
      <c r="O187" s="34"/>
      <c r="P187" s="58">
        <v>0.59</v>
      </c>
      <c r="Q187" s="58">
        <v>7.08</v>
      </c>
      <c r="R187" s="58"/>
      <c r="S187" s="58"/>
      <c r="T187" s="58"/>
      <c r="U187" s="60">
        <f t="shared" si="14"/>
        <v>7.67</v>
      </c>
      <c r="V187" s="36"/>
      <c r="X187" s="116" t="s">
        <v>105</v>
      </c>
    </row>
    <row r="188" spans="1:24" ht="66">
      <c r="A188" s="37" t="s">
        <v>667</v>
      </c>
      <c r="B188" s="32" t="s">
        <v>106</v>
      </c>
      <c r="C188" s="34" t="s">
        <v>233</v>
      </c>
      <c r="D188" s="34"/>
      <c r="E188" s="34">
        <v>2015</v>
      </c>
      <c r="F188" s="34">
        <v>2016</v>
      </c>
      <c r="G188" s="58">
        <v>5.31</v>
      </c>
      <c r="H188" s="58">
        <v>5.31</v>
      </c>
      <c r="I188" s="58"/>
      <c r="J188" s="34"/>
      <c r="K188" s="34"/>
      <c r="L188" s="34"/>
      <c r="M188" s="34"/>
      <c r="N188" s="34"/>
      <c r="O188" s="34"/>
      <c r="P188" s="58">
        <v>0.59</v>
      </c>
      <c r="Q188" s="58">
        <v>4.72</v>
      </c>
      <c r="R188" s="58"/>
      <c r="S188" s="58"/>
      <c r="T188" s="58"/>
      <c r="U188" s="60">
        <f t="shared" si="14"/>
        <v>5.31</v>
      </c>
      <c r="V188" s="36"/>
      <c r="X188" s="116" t="s">
        <v>106</v>
      </c>
    </row>
    <row r="189" spans="1:24" ht="66">
      <c r="A189" s="37" t="s">
        <v>668</v>
      </c>
      <c r="B189" s="32" t="s">
        <v>108</v>
      </c>
      <c r="C189" s="34" t="s">
        <v>85</v>
      </c>
      <c r="D189" s="34"/>
      <c r="E189" s="34">
        <v>2016</v>
      </c>
      <c r="F189" s="34">
        <v>2016</v>
      </c>
      <c r="G189" s="58">
        <v>3.54</v>
      </c>
      <c r="H189" s="58">
        <v>3.54</v>
      </c>
      <c r="I189" s="58"/>
      <c r="J189" s="34"/>
      <c r="K189" s="34"/>
      <c r="L189" s="34"/>
      <c r="M189" s="34"/>
      <c r="N189" s="34"/>
      <c r="O189" s="34"/>
      <c r="P189" s="58"/>
      <c r="Q189" s="58">
        <v>3.54</v>
      </c>
      <c r="R189" s="58"/>
      <c r="S189" s="58"/>
      <c r="T189" s="58"/>
      <c r="U189" s="60">
        <f t="shared" si="14"/>
        <v>3.54</v>
      </c>
      <c r="V189" s="36"/>
      <c r="X189" s="116" t="s">
        <v>108</v>
      </c>
    </row>
    <row r="190" spans="1:24" ht="33">
      <c r="A190" s="37" t="s">
        <v>669</v>
      </c>
      <c r="B190" s="32" t="s">
        <v>112</v>
      </c>
      <c r="C190" s="34" t="s">
        <v>233</v>
      </c>
      <c r="D190" s="34"/>
      <c r="E190" s="34">
        <v>2016</v>
      </c>
      <c r="F190" s="34">
        <v>2016</v>
      </c>
      <c r="G190" s="58">
        <v>4.72</v>
      </c>
      <c r="H190" s="58">
        <v>4.72</v>
      </c>
      <c r="I190" s="58"/>
      <c r="J190" s="34"/>
      <c r="K190" s="34"/>
      <c r="L190" s="34"/>
      <c r="M190" s="34"/>
      <c r="N190" s="34"/>
      <c r="O190" s="34"/>
      <c r="P190" s="58"/>
      <c r="Q190" s="58">
        <v>4.72</v>
      </c>
      <c r="R190" s="58"/>
      <c r="S190" s="58"/>
      <c r="T190" s="58"/>
      <c r="U190" s="60">
        <f t="shared" si="14"/>
        <v>4.72</v>
      </c>
      <c r="V190" s="36"/>
      <c r="X190" s="116" t="s">
        <v>112</v>
      </c>
    </row>
    <row r="191" spans="1:24" ht="66">
      <c r="A191" s="37" t="s">
        <v>670</v>
      </c>
      <c r="B191" s="32" t="s">
        <v>113</v>
      </c>
      <c r="C191" s="34" t="s">
        <v>233</v>
      </c>
      <c r="D191" s="34"/>
      <c r="E191" s="34">
        <v>2016</v>
      </c>
      <c r="F191" s="34">
        <v>2016</v>
      </c>
      <c r="G191" s="58">
        <v>1.18</v>
      </c>
      <c r="H191" s="58">
        <v>1.18</v>
      </c>
      <c r="I191" s="58"/>
      <c r="J191" s="34"/>
      <c r="K191" s="34"/>
      <c r="L191" s="34"/>
      <c r="M191" s="34"/>
      <c r="N191" s="34"/>
      <c r="O191" s="34"/>
      <c r="P191" s="58"/>
      <c r="Q191" s="58">
        <v>1.18</v>
      </c>
      <c r="R191" s="58"/>
      <c r="S191" s="58"/>
      <c r="T191" s="58"/>
      <c r="U191" s="60">
        <f t="shared" si="14"/>
        <v>1.18</v>
      </c>
      <c r="V191" s="36"/>
      <c r="X191" s="116" t="s">
        <v>113</v>
      </c>
    </row>
    <row r="192" spans="1:24" ht="33">
      <c r="A192" s="37" t="s">
        <v>671</v>
      </c>
      <c r="B192" s="32" t="s">
        <v>114</v>
      </c>
      <c r="C192" s="34" t="s">
        <v>233</v>
      </c>
      <c r="D192" s="34"/>
      <c r="E192" s="34">
        <v>2016</v>
      </c>
      <c r="F192" s="34">
        <v>2016</v>
      </c>
      <c r="G192" s="58">
        <v>4.72</v>
      </c>
      <c r="H192" s="58">
        <v>4.72</v>
      </c>
      <c r="I192" s="58"/>
      <c r="J192" s="34"/>
      <c r="K192" s="34"/>
      <c r="L192" s="34"/>
      <c r="M192" s="34"/>
      <c r="N192" s="34"/>
      <c r="O192" s="34"/>
      <c r="P192" s="58"/>
      <c r="Q192" s="58">
        <v>4.72</v>
      </c>
      <c r="R192" s="58"/>
      <c r="S192" s="58"/>
      <c r="T192" s="58"/>
      <c r="U192" s="60">
        <f t="shared" si="14"/>
        <v>4.72</v>
      </c>
      <c r="V192" s="36"/>
      <c r="X192" s="116" t="s">
        <v>114</v>
      </c>
    </row>
    <row r="193" spans="1:24" ht="49.5">
      <c r="A193" s="37" t="s">
        <v>672</v>
      </c>
      <c r="B193" s="32" t="s">
        <v>123</v>
      </c>
      <c r="C193" s="34" t="s">
        <v>233</v>
      </c>
      <c r="D193" s="34"/>
      <c r="E193" s="34">
        <v>2017</v>
      </c>
      <c r="F193" s="34">
        <v>2018</v>
      </c>
      <c r="G193" s="58">
        <v>14.16</v>
      </c>
      <c r="H193" s="58">
        <v>14.16</v>
      </c>
      <c r="I193" s="58"/>
      <c r="J193" s="34"/>
      <c r="K193" s="34"/>
      <c r="L193" s="34"/>
      <c r="M193" s="34"/>
      <c r="N193" s="34"/>
      <c r="O193" s="34"/>
      <c r="P193" s="58"/>
      <c r="Q193" s="58"/>
      <c r="R193" s="58">
        <v>2.36</v>
      </c>
      <c r="S193" s="58">
        <v>11.8</v>
      </c>
      <c r="T193" s="58"/>
      <c r="U193" s="60">
        <f t="shared" si="14"/>
        <v>14.16</v>
      </c>
      <c r="V193" s="36"/>
      <c r="X193" s="116" t="s">
        <v>123</v>
      </c>
    </row>
    <row r="194" spans="1:24" ht="33">
      <c r="A194" s="37" t="s">
        <v>673</v>
      </c>
      <c r="B194" s="32" t="s">
        <v>125</v>
      </c>
      <c r="C194" s="34" t="s">
        <v>233</v>
      </c>
      <c r="D194" s="34"/>
      <c r="E194" s="34">
        <v>2017</v>
      </c>
      <c r="F194" s="34">
        <v>2018</v>
      </c>
      <c r="G194" s="58">
        <v>2.36</v>
      </c>
      <c r="H194" s="58">
        <v>2.36</v>
      </c>
      <c r="I194" s="58"/>
      <c r="J194" s="34"/>
      <c r="K194" s="34"/>
      <c r="L194" s="34"/>
      <c r="M194" s="34"/>
      <c r="N194" s="34"/>
      <c r="O194" s="34"/>
      <c r="P194" s="58"/>
      <c r="Q194" s="58"/>
      <c r="R194" s="58">
        <v>1.18</v>
      </c>
      <c r="S194" s="58">
        <v>1.18</v>
      </c>
      <c r="T194" s="58"/>
      <c r="U194" s="60">
        <f t="shared" si="14"/>
        <v>2.36</v>
      </c>
      <c r="V194" s="36"/>
      <c r="X194" s="116" t="s">
        <v>125</v>
      </c>
    </row>
    <row r="195" spans="1:24" ht="33">
      <c r="A195" s="37" t="s">
        <v>674</v>
      </c>
      <c r="B195" s="171" t="s">
        <v>153</v>
      </c>
      <c r="C195" s="34" t="s">
        <v>85</v>
      </c>
      <c r="D195" s="34"/>
      <c r="E195" s="34">
        <v>2016</v>
      </c>
      <c r="F195" s="34">
        <v>2017</v>
      </c>
      <c r="G195" s="58">
        <f>39.4*1.18</f>
        <v>46.491999999999997</v>
      </c>
      <c r="H195" s="58">
        <f>39.4*1.18</f>
        <v>46.491999999999997</v>
      </c>
      <c r="I195" s="58"/>
      <c r="J195" s="34"/>
      <c r="K195" s="34"/>
      <c r="L195" s="34"/>
      <c r="M195" s="34"/>
      <c r="N195" s="34"/>
      <c r="O195" s="34"/>
      <c r="P195" s="58"/>
      <c r="Q195" s="58">
        <f>18.8*1.18</f>
        <v>22.184000000000001</v>
      </c>
      <c r="R195" s="58">
        <f>20.6*1.18</f>
        <v>24.308</v>
      </c>
      <c r="S195" s="58"/>
      <c r="T195" s="58"/>
      <c r="U195" s="60">
        <f t="shared" si="14"/>
        <v>46.492000000000004</v>
      </c>
      <c r="V195" s="36"/>
      <c r="X195" s="117" t="s">
        <v>153</v>
      </c>
    </row>
    <row r="196" spans="1:24" ht="31.5">
      <c r="A196" s="66" t="s">
        <v>3</v>
      </c>
      <c r="B196" s="73" t="s">
        <v>33</v>
      </c>
      <c r="C196" s="34"/>
      <c r="D196" s="67"/>
      <c r="E196" s="67"/>
      <c r="F196" s="67"/>
      <c r="G196" s="74">
        <f>G197+G234</f>
        <v>19769.129059999999</v>
      </c>
      <c r="H196" s="74">
        <f>H197+H234</f>
        <v>16729.401999999998</v>
      </c>
      <c r="I196" s="74">
        <f>I197+I234</f>
        <v>2421.2620000000002</v>
      </c>
      <c r="J196" s="35" t="s">
        <v>683</v>
      </c>
      <c r="K196" s="35" t="s">
        <v>724</v>
      </c>
      <c r="L196" s="35" t="s">
        <v>725</v>
      </c>
      <c r="M196" s="67" t="s">
        <v>718</v>
      </c>
      <c r="N196" s="35" t="s">
        <v>684</v>
      </c>
      <c r="O196" s="35" t="s">
        <v>726</v>
      </c>
      <c r="P196" s="74">
        <f t="shared" ref="P196:U196" si="15">P197+P234</f>
        <v>2786.5914400000001</v>
      </c>
      <c r="Q196" s="74">
        <f t="shared" si="15"/>
        <v>2234.7260000000001</v>
      </c>
      <c r="R196" s="74">
        <f t="shared" si="15"/>
        <v>3121.4379999999996</v>
      </c>
      <c r="S196" s="74">
        <f t="shared" si="15"/>
        <v>3072.3009999999995</v>
      </c>
      <c r="T196" s="74">
        <f t="shared" si="15"/>
        <v>3356.9469999999997</v>
      </c>
      <c r="U196" s="75">
        <f t="shared" si="15"/>
        <v>14572.003439999997</v>
      </c>
      <c r="V196" s="36"/>
      <c r="X196" s="123" t="s">
        <v>33</v>
      </c>
    </row>
    <row r="197" spans="1:24" ht="33">
      <c r="A197" s="66" t="s">
        <v>4</v>
      </c>
      <c r="B197" s="73" t="s">
        <v>51</v>
      </c>
      <c r="C197" s="34"/>
      <c r="D197" s="67"/>
      <c r="E197" s="67"/>
      <c r="F197" s="67"/>
      <c r="G197" s="74">
        <f>SUM(G198:G233)</f>
        <v>18092.229059999998</v>
      </c>
      <c r="H197" s="74">
        <f>SUM(H198:H233)</f>
        <v>15053.386999999999</v>
      </c>
      <c r="I197" s="74">
        <f>SUM(I198:I233)</f>
        <v>2420.377</v>
      </c>
      <c r="J197" s="35" t="s">
        <v>683</v>
      </c>
      <c r="K197" s="35" t="s">
        <v>724</v>
      </c>
      <c r="L197" s="35" t="s">
        <v>725</v>
      </c>
      <c r="M197" s="67" t="s">
        <v>718</v>
      </c>
      <c r="N197" s="35" t="s">
        <v>684</v>
      </c>
      <c r="O197" s="35" t="s">
        <v>726</v>
      </c>
      <c r="P197" s="74">
        <f t="shared" ref="P197:U197" si="16">SUM(P198:P233)</f>
        <v>2399.37844</v>
      </c>
      <c r="Q197" s="74">
        <f t="shared" si="16"/>
        <v>2212.0660000000003</v>
      </c>
      <c r="R197" s="74">
        <f t="shared" si="16"/>
        <v>2746.9219999999996</v>
      </c>
      <c r="S197" s="74">
        <f t="shared" si="16"/>
        <v>2598.1239999999993</v>
      </c>
      <c r="T197" s="74">
        <f t="shared" si="16"/>
        <v>2939.4979999999996</v>
      </c>
      <c r="U197" s="75">
        <f t="shared" si="16"/>
        <v>12895.988439999997</v>
      </c>
      <c r="V197" s="36"/>
      <c r="X197" s="123" t="s">
        <v>51</v>
      </c>
    </row>
    <row r="198" spans="1:24" ht="49.5">
      <c r="A198" s="37" t="s">
        <v>550</v>
      </c>
      <c r="B198" s="32" t="s">
        <v>83</v>
      </c>
      <c r="C198" s="34" t="s">
        <v>85</v>
      </c>
      <c r="D198" s="34" t="s">
        <v>133</v>
      </c>
      <c r="E198" s="34">
        <v>2013</v>
      </c>
      <c r="F198" s="34">
        <v>2015</v>
      </c>
      <c r="G198" s="58">
        <f>11*1.18</f>
        <v>12.979999999999999</v>
      </c>
      <c r="H198" s="58">
        <f>9*1.18</f>
        <v>10.62</v>
      </c>
      <c r="I198" s="58"/>
      <c r="J198" s="34" t="s">
        <v>133</v>
      </c>
      <c r="K198" s="34"/>
      <c r="L198" s="34"/>
      <c r="M198" s="34"/>
      <c r="N198" s="34"/>
      <c r="O198" s="34" t="s">
        <v>133</v>
      </c>
      <c r="P198" s="58">
        <v>10.62</v>
      </c>
      <c r="Q198" s="58"/>
      <c r="R198" s="58"/>
      <c r="S198" s="58"/>
      <c r="T198" s="58"/>
      <c r="U198" s="60">
        <f t="shared" ref="U198:U205" si="17">SUM(P198:T198)</f>
        <v>10.62</v>
      </c>
      <c r="V198" s="36"/>
      <c r="X198" s="116" t="s">
        <v>83</v>
      </c>
    </row>
    <row r="199" spans="1:24" ht="49.5">
      <c r="A199" s="37" t="s">
        <v>551</v>
      </c>
      <c r="B199" s="32" t="s">
        <v>84</v>
      </c>
      <c r="C199" s="34" t="s">
        <v>85</v>
      </c>
      <c r="D199" s="34" t="s">
        <v>134</v>
      </c>
      <c r="E199" s="34">
        <v>2013</v>
      </c>
      <c r="F199" s="34">
        <v>2015</v>
      </c>
      <c r="G199" s="58">
        <f>63.5*1.18</f>
        <v>74.929999999999993</v>
      </c>
      <c r="H199" s="58">
        <f>30*1.18</f>
        <v>35.4</v>
      </c>
      <c r="I199" s="58">
        <f>30*1.18</f>
        <v>35.4</v>
      </c>
      <c r="J199" s="34" t="s">
        <v>134</v>
      </c>
      <c r="K199" s="34"/>
      <c r="L199" s="34"/>
      <c r="M199" s="34"/>
      <c r="N199" s="34"/>
      <c r="O199" s="34" t="s">
        <v>134</v>
      </c>
      <c r="P199" s="58">
        <v>35.4</v>
      </c>
      <c r="Q199" s="58"/>
      <c r="R199" s="58"/>
      <c r="S199" s="58"/>
      <c r="T199" s="58"/>
      <c r="U199" s="60">
        <f t="shared" si="17"/>
        <v>35.4</v>
      </c>
      <c r="V199" s="36"/>
      <c r="X199" s="116" t="s">
        <v>84</v>
      </c>
    </row>
    <row r="200" spans="1:24" ht="49.5">
      <c r="A200" s="37" t="s">
        <v>552</v>
      </c>
      <c r="B200" s="32" t="s">
        <v>703</v>
      </c>
      <c r="C200" s="34" t="s">
        <v>233</v>
      </c>
      <c r="D200" s="34" t="s">
        <v>140</v>
      </c>
      <c r="E200" s="34">
        <v>2014</v>
      </c>
      <c r="F200" s="34">
        <v>2019</v>
      </c>
      <c r="G200" s="58">
        <f>H200+I200</f>
        <v>1295.9100000000001</v>
      </c>
      <c r="H200" s="58">
        <f>1180</f>
        <v>1180</v>
      </c>
      <c r="I200" s="58">
        <f>115.91</f>
        <v>115.91</v>
      </c>
      <c r="J200" s="34" t="s">
        <v>141</v>
      </c>
      <c r="K200" s="34" t="s">
        <v>141</v>
      </c>
      <c r="L200" s="34" t="s">
        <v>141</v>
      </c>
      <c r="M200" s="34" t="s">
        <v>141</v>
      </c>
      <c r="N200" s="34" t="s">
        <v>141</v>
      </c>
      <c r="O200" s="34" t="s">
        <v>140</v>
      </c>
      <c r="P200" s="58">
        <v>236</v>
      </c>
      <c r="Q200" s="58">
        <v>236</v>
      </c>
      <c r="R200" s="58">
        <v>236</v>
      </c>
      <c r="S200" s="58">
        <v>236</v>
      </c>
      <c r="T200" s="58">
        <v>236</v>
      </c>
      <c r="U200" s="60">
        <f t="shared" si="17"/>
        <v>1180</v>
      </c>
      <c r="V200" s="36"/>
      <c r="X200" s="116" t="s">
        <v>703</v>
      </c>
    </row>
    <row r="201" spans="1:24" ht="16.5">
      <c r="A201" s="37" t="s">
        <v>553</v>
      </c>
      <c r="B201" s="32" t="s">
        <v>98</v>
      </c>
      <c r="C201" s="34" t="s">
        <v>85</v>
      </c>
      <c r="D201" s="34" t="s">
        <v>135</v>
      </c>
      <c r="E201" s="34">
        <v>2013</v>
      </c>
      <c r="F201" s="34">
        <v>2015</v>
      </c>
      <c r="G201" s="58">
        <f>2.57*1.18+H201</f>
        <v>177.67259999999999</v>
      </c>
      <c r="H201" s="58">
        <v>174.64</v>
      </c>
      <c r="I201" s="58"/>
      <c r="J201" s="34" t="s">
        <v>135</v>
      </c>
      <c r="K201" s="34"/>
      <c r="L201" s="34"/>
      <c r="M201" s="34"/>
      <c r="N201" s="34"/>
      <c r="O201" s="34" t="s">
        <v>135</v>
      </c>
      <c r="P201" s="58">
        <v>174.64</v>
      </c>
      <c r="Q201" s="58"/>
      <c r="R201" s="58"/>
      <c r="S201" s="58"/>
      <c r="T201" s="58"/>
      <c r="U201" s="60">
        <f t="shared" si="17"/>
        <v>174.64</v>
      </c>
      <c r="V201" s="36"/>
      <c r="X201" s="116" t="s">
        <v>98</v>
      </c>
    </row>
    <row r="202" spans="1:24" ht="66">
      <c r="A202" s="37" t="s">
        <v>554</v>
      </c>
      <c r="B202" s="32" t="s">
        <v>99</v>
      </c>
      <c r="C202" s="34" t="s">
        <v>85</v>
      </c>
      <c r="D202" s="34" t="s">
        <v>137</v>
      </c>
      <c r="E202" s="34">
        <v>2013</v>
      </c>
      <c r="F202" s="34">
        <v>2019</v>
      </c>
      <c r="G202" s="58">
        <f>1436.3*1.18</f>
        <v>1694.8339999999998</v>
      </c>
      <c r="H202" s="58">
        <f>1426.3*1.18</f>
        <v>1683.0339999999999</v>
      </c>
      <c r="I202" s="58"/>
      <c r="J202" s="34"/>
      <c r="K202" s="34"/>
      <c r="L202" s="34"/>
      <c r="M202" s="34"/>
      <c r="N202" s="34" t="s">
        <v>137</v>
      </c>
      <c r="O202" s="34" t="s">
        <v>137</v>
      </c>
      <c r="P202" s="58">
        <v>5.1920000000000002</v>
      </c>
      <c r="Q202" s="58">
        <v>645.57799999999997</v>
      </c>
      <c r="R202" s="58">
        <v>612.41999999999996</v>
      </c>
      <c r="S202" s="58">
        <v>384.44400000000002</v>
      </c>
      <c r="T202" s="58">
        <v>35.4</v>
      </c>
      <c r="U202" s="60">
        <f t="shared" si="17"/>
        <v>1683.0340000000001</v>
      </c>
      <c r="V202" s="36"/>
      <c r="X202" s="116" t="s">
        <v>99</v>
      </c>
    </row>
    <row r="203" spans="1:24" ht="49.5">
      <c r="A203" s="37" t="s">
        <v>555</v>
      </c>
      <c r="B203" s="32" t="s">
        <v>100</v>
      </c>
      <c r="C203" s="34" t="s">
        <v>85</v>
      </c>
      <c r="D203" s="34" t="s">
        <v>136</v>
      </c>
      <c r="E203" s="34">
        <v>2013</v>
      </c>
      <c r="F203" s="34">
        <v>2016</v>
      </c>
      <c r="G203" s="58">
        <v>153.87700000000001</v>
      </c>
      <c r="H203" s="58">
        <f>G203-I203</f>
        <v>148.92100000000002</v>
      </c>
      <c r="I203" s="58">
        <v>4.9560000000000004</v>
      </c>
      <c r="J203" s="34"/>
      <c r="K203" s="34" t="s">
        <v>136</v>
      </c>
      <c r="L203" s="34"/>
      <c r="M203" s="34"/>
      <c r="N203" s="34"/>
      <c r="O203" s="34" t="s">
        <v>136</v>
      </c>
      <c r="P203" s="58">
        <v>92.290999999999997</v>
      </c>
      <c r="Q203" s="58">
        <v>56.64</v>
      </c>
      <c r="R203" s="58"/>
      <c r="S203" s="58"/>
      <c r="T203" s="58"/>
      <c r="U203" s="60">
        <f t="shared" si="17"/>
        <v>148.93099999999998</v>
      </c>
      <c r="V203" s="36"/>
      <c r="X203" s="116" t="s">
        <v>100</v>
      </c>
    </row>
    <row r="204" spans="1:24" ht="33">
      <c r="A204" s="37" t="s">
        <v>556</v>
      </c>
      <c r="B204" s="32" t="s">
        <v>115</v>
      </c>
      <c r="C204" s="34" t="s">
        <v>233</v>
      </c>
      <c r="D204" s="34" t="s">
        <v>116</v>
      </c>
      <c r="E204" s="34">
        <v>2017</v>
      </c>
      <c r="F204" s="34">
        <v>2018</v>
      </c>
      <c r="G204" s="58">
        <v>24.78</v>
      </c>
      <c r="H204" s="58">
        <v>24.78</v>
      </c>
      <c r="I204" s="58"/>
      <c r="J204" s="34"/>
      <c r="K204" s="34"/>
      <c r="L204" s="34"/>
      <c r="M204" s="34" t="s">
        <v>116</v>
      </c>
      <c r="N204" s="68"/>
      <c r="O204" s="34" t="s">
        <v>116</v>
      </c>
      <c r="P204" s="58"/>
      <c r="Q204" s="58"/>
      <c r="R204" s="58">
        <v>3.54</v>
      </c>
      <c r="S204" s="58">
        <v>21.24</v>
      </c>
      <c r="T204" s="58"/>
      <c r="U204" s="60">
        <f t="shared" si="17"/>
        <v>24.779999999999998</v>
      </c>
      <c r="V204" s="36"/>
      <c r="X204" s="116" t="s">
        <v>115</v>
      </c>
    </row>
    <row r="205" spans="1:24" ht="82.5">
      <c r="A205" s="37" t="s">
        <v>557</v>
      </c>
      <c r="B205" s="32" t="s">
        <v>130</v>
      </c>
      <c r="C205" s="34" t="s">
        <v>233</v>
      </c>
      <c r="D205" s="34" t="s">
        <v>131</v>
      </c>
      <c r="E205" s="34">
        <v>2019</v>
      </c>
      <c r="F205" s="34">
        <v>2021</v>
      </c>
      <c r="G205" s="58">
        <f>620*1.18</f>
        <v>731.59999999999991</v>
      </c>
      <c r="H205" s="58">
        <f>620*1.18</f>
        <v>731.59999999999991</v>
      </c>
      <c r="I205" s="58"/>
      <c r="J205" s="34"/>
      <c r="K205" s="34"/>
      <c r="L205" s="34"/>
      <c r="M205" s="34"/>
      <c r="N205" s="34"/>
      <c r="O205" s="34"/>
      <c r="P205" s="58"/>
      <c r="Q205" s="58"/>
      <c r="R205" s="58"/>
      <c r="S205" s="58"/>
      <c r="T205" s="58">
        <v>23.6</v>
      </c>
      <c r="U205" s="60">
        <f t="shared" si="17"/>
        <v>23.6</v>
      </c>
      <c r="V205" s="36"/>
      <c r="X205" s="116" t="s">
        <v>130</v>
      </c>
    </row>
    <row r="206" spans="1:24" ht="49.5">
      <c r="A206" s="37" t="s">
        <v>558</v>
      </c>
      <c r="B206" s="174" t="s">
        <v>207</v>
      </c>
      <c r="C206" s="34" t="s">
        <v>233</v>
      </c>
      <c r="D206" s="34" t="s">
        <v>149</v>
      </c>
      <c r="E206" s="34">
        <v>2013</v>
      </c>
      <c r="F206" s="34">
        <v>2015</v>
      </c>
      <c r="G206" s="58">
        <f>194.1*1.18+231.212</f>
        <v>460.25</v>
      </c>
      <c r="H206" s="58">
        <v>228.988</v>
      </c>
      <c r="I206" s="58">
        <v>231.21199999999999</v>
      </c>
      <c r="J206" s="34" t="s">
        <v>149</v>
      </c>
      <c r="K206" s="34"/>
      <c r="L206" s="34"/>
      <c r="M206" s="34"/>
      <c r="N206" s="34"/>
      <c r="O206" s="34" t="s">
        <v>149</v>
      </c>
      <c r="P206" s="58">
        <f>194.058*1.18</f>
        <v>228.98843999999997</v>
      </c>
      <c r="Q206" s="58"/>
      <c r="R206" s="58"/>
      <c r="S206" s="58"/>
      <c r="T206" s="58"/>
      <c r="U206" s="60">
        <f t="shared" ref="U206:U216" si="18">SUM(P206:T206)</f>
        <v>228.98843999999997</v>
      </c>
      <c r="V206" s="36"/>
      <c r="X206" s="124" t="s">
        <v>207</v>
      </c>
    </row>
    <row r="207" spans="1:24" ht="33">
      <c r="A207" s="37" t="s">
        <v>559</v>
      </c>
      <c r="B207" s="171" t="s">
        <v>208</v>
      </c>
      <c r="C207" s="34" t="s">
        <v>233</v>
      </c>
      <c r="D207" s="34" t="s">
        <v>209</v>
      </c>
      <c r="E207" s="34">
        <v>2017</v>
      </c>
      <c r="F207" s="34">
        <v>2018</v>
      </c>
      <c r="G207" s="58">
        <f>45*1.18</f>
        <v>53.099999999999994</v>
      </c>
      <c r="H207" s="58">
        <f>45*1.18</f>
        <v>53.099999999999994</v>
      </c>
      <c r="I207" s="58"/>
      <c r="J207" s="34"/>
      <c r="K207" s="34"/>
      <c r="L207" s="34"/>
      <c r="M207" s="34" t="s">
        <v>209</v>
      </c>
      <c r="N207" s="34"/>
      <c r="O207" s="34" t="s">
        <v>209</v>
      </c>
      <c r="P207" s="58"/>
      <c r="Q207" s="58"/>
      <c r="R207" s="58">
        <f>5*1.18</f>
        <v>5.8999999999999995</v>
      </c>
      <c r="S207" s="58">
        <f>40*1.18</f>
        <v>47.199999999999996</v>
      </c>
      <c r="T207" s="58"/>
      <c r="U207" s="60">
        <f t="shared" si="18"/>
        <v>53.099999999999994</v>
      </c>
      <c r="V207" s="36"/>
      <c r="X207" s="117" t="s">
        <v>208</v>
      </c>
    </row>
    <row r="208" spans="1:24" ht="33">
      <c r="A208" s="37" t="s">
        <v>560</v>
      </c>
      <c r="B208" s="171" t="s">
        <v>210</v>
      </c>
      <c r="C208" s="34" t="s">
        <v>233</v>
      </c>
      <c r="D208" s="34" t="s">
        <v>211</v>
      </c>
      <c r="E208" s="34">
        <v>2017</v>
      </c>
      <c r="F208" s="34">
        <v>2019</v>
      </c>
      <c r="G208" s="58">
        <f>82*1.18</f>
        <v>96.759999999999991</v>
      </c>
      <c r="H208" s="58">
        <f>82*1.18</f>
        <v>96.759999999999991</v>
      </c>
      <c r="I208" s="58"/>
      <c r="J208" s="34"/>
      <c r="K208" s="34"/>
      <c r="L208" s="34"/>
      <c r="M208" s="34" t="s">
        <v>143</v>
      </c>
      <c r="N208" s="34" t="s">
        <v>143</v>
      </c>
      <c r="O208" s="34" t="s">
        <v>211</v>
      </c>
      <c r="P208" s="58"/>
      <c r="Q208" s="58"/>
      <c r="R208" s="58">
        <f>8*1.18</f>
        <v>9.44</v>
      </c>
      <c r="S208" s="58">
        <f>37*1.18</f>
        <v>43.66</v>
      </c>
      <c r="T208" s="58">
        <f>37*1.18</f>
        <v>43.66</v>
      </c>
      <c r="U208" s="60">
        <f t="shared" si="18"/>
        <v>96.759999999999991</v>
      </c>
      <c r="V208" s="36"/>
      <c r="X208" s="117" t="s">
        <v>210</v>
      </c>
    </row>
    <row r="209" spans="1:24" ht="82.5">
      <c r="A209" s="37" t="s">
        <v>561</v>
      </c>
      <c r="B209" s="173" t="s">
        <v>212</v>
      </c>
      <c r="C209" s="34" t="s">
        <v>233</v>
      </c>
      <c r="D209" s="34" t="s">
        <v>213</v>
      </c>
      <c r="E209" s="34">
        <v>2013</v>
      </c>
      <c r="F209" s="34">
        <v>2022</v>
      </c>
      <c r="G209" s="58">
        <f>692.436*1.18</f>
        <v>817.07447999999999</v>
      </c>
      <c r="H209" s="58">
        <f>G209-I209-0.9</f>
        <v>792.46848</v>
      </c>
      <c r="I209" s="58">
        <v>23.706</v>
      </c>
      <c r="J209" s="34" t="s">
        <v>214</v>
      </c>
      <c r="K209" s="34" t="s">
        <v>214</v>
      </c>
      <c r="L209" s="34" t="s">
        <v>214</v>
      </c>
      <c r="M209" s="34" t="s">
        <v>214</v>
      </c>
      <c r="N209" s="34" t="s">
        <v>214</v>
      </c>
      <c r="O209" s="34" t="s">
        <v>215</v>
      </c>
      <c r="P209" s="58">
        <f>25*1.18</f>
        <v>29.5</v>
      </c>
      <c r="Q209" s="58">
        <f t="shared" ref="Q209:T210" si="19">25*1.18</f>
        <v>29.5</v>
      </c>
      <c r="R209" s="58">
        <f t="shared" si="19"/>
        <v>29.5</v>
      </c>
      <c r="S209" s="58">
        <f t="shared" si="19"/>
        <v>29.5</v>
      </c>
      <c r="T209" s="58">
        <f t="shared" si="19"/>
        <v>29.5</v>
      </c>
      <c r="U209" s="60">
        <f t="shared" si="18"/>
        <v>147.5</v>
      </c>
      <c r="V209" s="36"/>
      <c r="X209" s="120" t="s">
        <v>212</v>
      </c>
    </row>
    <row r="210" spans="1:24" ht="82.5">
      <c r="A210" s="37" t="s">
        <v>562</v>
      </c>
      <c r="B210" s="173" t="s">
        <v>216</v>
      </c>
      <c r="C210" s="34" t="s">
        <v>233</v>
      </c>
      <c r="D210" s="34" t="s">
        <v>217</v>
      </c>
      <c r="E210" s="34">
        <v>2013</v>
      </c>
      <c r="F210" s="34">
        <v>2020</v>
      </c>
      <c r="G210" s="58">
        <f>285.214*1.18</f>
        <v>336.55251999999996</v>
      </c>
      <c r="H210" s="58">
        <f>G210-I210-3.101</f>
        <v>300.60051999999996</v>
      </c>
      <c r="I210" s="58">
        <v>32.850999999999999</v>
      </c>
      <c r="J210" s="34" t="s">
        <v>214</v>
      </c>
      <c r="K210" s="34" t="s">
        <v>214</v>
      </c>
      <c r="L210" s="34" t="s">
        <v>214</v>
      </c>
      <c r="M210" s="34" t="s">
        <v>214</v>
      </c>
      <c r="N210" s="34" t="s">
        <v>214</v>
      </c>
      <c r="O210" s="34" t="s">
        <v>215</v>
      </c>
      <c r="P210" s="58">
        <f>25*1.18</f>
        <v>29.5</v>
      </c>
      <c r="Q210" s="58">
        <f t="shared" si="19"/>
        <v>29.5</v>
      </c>
      <c r="R210" s="58">
        <f t="shared" si="19"/>
        <v>29.5</v>
      </c>
      <c r="S210" s="58">
        <f t="shared" si="19"/>
        <v>29.5</v>
      </c>
      <c r="T210" s="58">
        <f t="shared" si="19"/>
        <v>29.5</v>
      </c>
      <c r="U210" s="60">
        <f t="shared" si="18"/>
        <v>147.5</v>
      </c>
      <c r="V210" s="36"/>
      <c r="X210" s="120" t="s">
        <v>216</v>
      </c>
    </row>
    <row r="211" spans="1:24" ht="66">
      <c r="A211" s="37" t="s">
        <v>563</v>
      </c>
      <c r="B211" s="54" t="s">
        <v>679</v>
      </c>
      <c r="C211" s="34" t="s">
        <v>233</v>
      </c>
      <c r="D211" s="34"/>
      <c r="E211" s="34">
        <v>2015</v>
      </c>
      <c r="F211" s="34">
        <v>2019</v>
      </c>
      <c r="G211" s="58">
        <f>300*1.18</f>
        <v>354</v>
      </c>
      <c r="H211" s="58">
        <f>300*1.18</f>
        <v>354</v>
      </c>
      <c r="I211" s="58"/>
      <c r="J211" s="34"/>
      <c r="K211" s="34"/>
      <c r="L211" s="34"/>
      <c r="M211" s="34"/>
      <c r="N211" s="34"/>
      <c r="O211" s="34"/>
      <c r="P211" s="58">
        <f>30*1.18</f>
        <v>35.4</v>
      </c>
      <c r="Q211" s="58">
        <f>60*1.18</f>
        <v>70.8</v>
      </c>
      <c r="R211" s="58">
        <f>80*1.18</f>
        <v>94.399999999999991</v>
      </c>
      <c r="S211" s="58">
        <f>65*1.18</f>
        <v>76.7</v>
      </c>
      <c r="T211" s="58">
        <f>65*1.18</f>
        <v>76.7</v>
      </c>
      <c r="U211" s="60">
        <f t="shared" si="18"/>
        <v>353.99999999999994</v>
      </c>
      <c r="V211" s="36"/>
      <c r="X211" s="119" t="s">
        <v>679</v>
      </c>
    </row>
    <row r="212" spans="1:24" ht="72.75" customHeight="1">
      <c r="A212" s="37" t="s">
        <v>564</v>
      </c>
      <c r="B212" s="173" t="s">
        <v>218</v>
      </c>
      <c r="C212" s="34" t="s">
        <v>233</v>
      </c>
      <c r="D212" s="34" t="s">
        <v>219</v>
      </c>
      <c r="E212" s="34">
        <v>2015</v>
      </c>
      <c r="F212" s="34">
        <v>2019</v>
      </c>
      <c r="G212" s="58">
        <f>183*1.18</f>
        <v>215.94</v>
      </c>
      <c r="H212" s="58">
        <f>183*1.18</f>
        <v>215.94</v>
      </c>
      <c r="I212" s="58"/>
      <c r="J212" s="34" t="s">
        <v>220</v>
      </c>
      <c r="K212" s="34" t="s">
        <v>220</v>
      </c>
      <c r="L212" s="34" t="s">
        <v>220</v>
      </c>
      <c r="M212" s="34" t="s">
        <v>220</v>
      </c>
      <c r="N212" s="34" t="s">
        <v>220</v>
      </c>
      <c r="O212" s="34" t="s">
        <v>219</v>
      </c>
      <c r="P212" s="58">
        <f>40*1.18</f>
        <v>47.199999999999996</v>
      </c>
      <c r="Q212" s="58">
        <f>30*1.18</f>
        <v>35.4</v>
      </c>
      <c r="R212" s="58">
        <f>30*1.18</f>
        <v>35.4</v>
      </c>
      <c r="S212" s="58">
        <f>43*1.18</f>
        <v>50.739999999999995</v>
      </c>
      <c r="T212" s="58">
        <f>40*1.18</f>
        <v>47.199999999999996</v>
      </c>
      <c r="U212" s="60">
        <f t="shared" si="18"/>
        <v>215.94</v>
      </c>
      <c r="V212" s="36"/>
      <c r="X212" s="120" t="s">
        <v>218</v>
      </c>
    </row>
    <row r="213" spans="1:24" ht="33">
      <c r="A213" s="37" t="s">
        <v>565</v>
      </c>
      <c r="B213" s="171" t="s">
        <v>221</v>
      </c>
      <c r="C213" s="34" t="s">
        <v>233</v>
      </c>
      <c r="D213" s="34" t="s">
        <v>222</v>
      </c>
      <c r="E213" s="34">
        <v>2015</v>
      </c>
      <c r="F213" s="34">
        <v>2018</v>
      </c>
      <c r="G213" s="58">
        <f>402*1.18</f>
        <v>474.35999999999996</v>
      </c>
      <c r="H213" s="58">
        <f>402*1.18</f>
        <v>474.35999999999996</v>
      </c>
      <c r="I213" s="58"/>
      <c r="J213" s="34"/>
      <c r="K213" s="34"/>
      <c r="L213" s="34" t="s">
        <v>223</v>
      </c>
      <c r="M213" s="34" t="s">
        <v>223</v>
      </c>
      <c r="N213" s="34"/>
      <c r="O213" s="34" t="s">
        <v>222</v>
      </c>
      <c r="P213" s="58">
        <f>100*1.18</f>
        <v>118</v>
      </c>
      <c r="Q213" s="58">
        <f>105*1.18</f>
        <v>123.89999999999999</v>
      </c>
      <c r="R213" s="58">
        <f>100*1.18</f>
        <v>118</v>
      </c>
      <c r="S213" s="58">
        <f>97*1.18</f>
        <v>114.46</v>
      </c>
      <c r="T213" s="58"/>
      <c r="U213" s="60">
        <f t="shared" si="18"/>
        <v>474.35999999999996</v>
      </c>
      <c r="V213" s="36"/>
      <c r="X213" s="117" t="s">
        <v>221</v>
      </c>
    </row>
    <row r="214" spans="1:24" ht="33">
      <c r="A214" s="37" t="s">
        <v>566</v>
      </c>
      <c r="B214" s="171" t="s">
        <v>224</v>
      </c>
      <c r="C214" s="34" t="s">
        <v>233</v>
      </c>
      <c r="D214" s="34" t="s">
        <v>209</v>
      </c>
      <c r="E214" s="34">
        <v>2018</v>
      </c>
      <c r="F214" s="34">
        <v>2019</v>
      </c>
      <c r="G214" s="58">
        <f>74*1.18</f>
        <v>87.32</v>
      </c>
      <c r="H214" s="58">
        <f>74*1.18</f>
        <v>87.32</v>
      </c>
      <c r="I214" s="58"/>
      <c r="J214" s="34"/>
      <c r="K214" s="34"/>
      <c r="L214" s="34"/>
      <c r="M214" s="34" t="s">
        <v>225</v>
      </c>
      <c r="N214" s="34" t="s">
        <v>225</v>
      </c>
      <c r="O214" s="34" t="s">
        <v>209</v>
      </c>
      <c r="P214" s="58"/>
      <c r="Q214" s="58"/>
      <c r="R214" s="58"/>
      <c r="S214" s="58">
        <f>37*1.18</f>
        <v>43.66</v>
      </c>
      <c r="T214" s="58">
        <f>37*1.18</f>
        <v>43.66</v>
      </c>
      <c r="U214" s="60">
        <f t="shared" si="18"/>
        <v>87.32</v>
      </c>
      <c r="V214" s="36"/>
      <c r="X214" s="117" t="s">
        <v>224</v>
      </c>
    </row>
    <row r="215" spans="1:24" ht="33">
      <c r="A215" s="37" t="s">
        <v>567</v>
      </c>
      <c r="B215" s="171" t="s">
        <v>226</v>
      </c>
      <c r="C215" s="34" t="s">
        <v>233</v>
      </c>
      <c r="D215" s="34" t="s">
        <v>211</v>
      </c>
      <c r="E215" s="34">
        <v>2017</v>
      </c>
      <c r="F215" s="34">
        <v>2018</v>
      </c>
      <c r="G215" s="58">
        <f>84*1.18</f>
        <v>99.11999999999999</v>
      </c>
      <c r="H215" s="58">
        <f>84*1.18</f>
        <v>99.11999999999999</v>
      </c>
      <c r="I215" s="58"/>
      <c r="J215" s="34"/>
      <c r="K215" s="34"/>
      <c r="L215" s="34" t="s">
        <v>143</v>
      </c>
      <c r="M215" s="34" t="s">
        <v>143</v>
      </c>
      <c r="N215" s="34"/>
      <c r="O215" s="34" t="s">
        <v>211</v>
      </c>
      <c r="P215" s="58"/>
      <c r="Q215" s="58"/>
      <c r="R215" s="58">
        <f>42*1.18</f>
        <v>49.559999999999995</v>
      </c>
      <c r="S215" s="58">
        <f>42*1.18</f>
        <v>49.559999999999995</v>
      </c>
      <c r="T215" s="58"/>
      <c r="U215" s="60">
        <f t="shared" si="18"/>
        <v>99.11999999999999</v>
      </c>
      <c r="V215" s="36"/>
      <c r="X215" s="117" t="s">
        <v>226</v>
      </c>
    </row>
    <row r="216" spans="1:24" ht="65.25" customHeight="1">
      <c r="A216" s="37" t="s">
        <v>568</v>
      </c>
      <c r="B216" s="39" t="s">
        <v>704</v>
      </c>
      <c r="C216" s="34" t="s">
        <v>233</v>
      </c>
      <c r="D216" s="34" t="s">
        <v>227</v>
      </c>
      <c r="E216" s="34">
        <v>2006</v>
      </c>
      <c r="F216" s="34">
        <v>2019</v>
      </c>
      <c r="G216" s="58">
        <f>501.347*1.18+H216+I216</f>
        <v>1290.2554599999999</v>
      </c>
      <c r="H216" s="58">
        <f>550*1.18</f>
        <v>649</v>
      </c>
      <c r="I216" s="58">
        <v>49.665999999999997</v>
      </c>
      <c r="J216" s="34" t="s">
        <v>228</v>
      </c>
      <c r="K216" s="34" t="s">
        <v>228</v>
      </c>
      <c r="L216" s="34" t="s">
        <v>228</v>
      </c>
      <c r="M216" s="34" t="s">
        <v>228</v>
      </c>
      <c r="N216" s="34" t="s">
        <v>228</v>
      </c>
      <c r="O216" s="34" t="s">
        <v>227</v>
      </c>
      <c r="P216" s="58">
        <f>110*1.18</f>
        <v>129.79999999999998</v>
      </c>
      <c r="Q216" s="58">
        <f>110*1.18</f>
        <v>129.79999999999998</v>
      </c>
      <c r="R216" s="58">
        <f>110*1.18</f>
        <v>129.79999999999998</v>
      </c>
      <c r="S216" s="58">
        <f>110*1.18</f>
        <v>129.79999999999998</v>
      </c>
      <c r="T216" s="58">
        <f>110*1.18</f>
        <v>129.79999999999998</v>
      </c>
      <c r="U216" s="60">
        <f t="shared" si="18"/>
        <v>648.99999999999989</v>
      </c>
      <c r="V216" s="36"/>
      <c r="X216" s="121" t="s">
        <v>704</v>
      </c>
    </row>
    <row r="217" spans="1:24" ht="66">
      <c r="A217" s="37" t="s">
        <v>569</v>
      </c>
      <c r="B217" s="32" t="s">
        <v>696</v>
      </c>
      <c r="C217" s="34" t="s">
        <v>238</v>
      </c>
      <c r="D217" s="34"/>
      <c r="E217" s="34">
        <v>2015</v>
      </c>
      <c r="F217" s="34">
        <v>2019</v>
      </c>
      <c r="G217" s="58">
        <v>200.6</v>
      </c>
      <c r="H217" s="58">
        <v>200.6</v>
      </c>
      <c r="I217" s="74"/>
      <c r="J217" s="34"/>
      <c r="K217" s="34"/>
      <c r="L217" s="34"/>
      <c r="M217" s="34"/>
      <c r="N217" s="34"/>
      <c r="O217" s="34"/>
      <c r="P217" s="58">
        <v>17.7</v>
      </c>
      <c r="Q217" s="58">
        <v>23.6</v>
      </c>
      <c r="R217" s="58">
        <v>53.1</v>
      </c>
      <c r="S217" s="58">
        <v>53.1</v>
      </c>
      <c r="T217" s="58">
        <v>53.1</v>
      </c>
      <c r="U217" s="60">
        <f>P217+Q217+R217+S217+T217</f>
        <v>200.6</v>
      </c>
      <c r="V217" s="36"/>
      <c r="X217" s="116" t="s">
        <v>696</v>
      </c>
    </row>
    <row r="218" spans="1:24" ht="33">
      <c r="A218" s="37" t="s">
        <v>570</v>
      </c>
      <c r="B218" s="32" t="s">
        <v>261</v>
      </c>
      <c r="C218" s="34" t="s">
        <v>85</v>
      </c>
      <c r="D218" s="34" t="s">
        <v>610</v>
      </c>
      <c r="E218" s="34">
        <v>2008</v>
      </c>
      <c r="F218" s="34">
        <v>2015</v>
      </c>
      <c r="G218" s="58">
        <v>20.855</v>
      </c>
      <c r="H218" s="58">
        <v>19.707000000000001</v>
      </c>
      <c r="I218" s="58"/>
      <c r="J218" s="34" t="s">
        <v>610</v>
      </c>
      <c r="K218" s="34"/>
      <c r="L218" s="34"/>
      <c r="M218" s="34"/>
      <c r="N218" s="34"/>
      <c r="O218" s="34" t="s">
        <v>610</v>
      </c>
      <c r="P218" s="58">
        <v>19.707000000000001</v>
      </c>
      <c r="Q218" s="58"/>
      <c r="R218" s="58"/>
      <c r="S218" s="58"/>
      <c r="T218" s="58"/>
      <c r="U218" s="60">
        <f>P218+Q218+R218+S218+T218</f>
        <v>19.707000000000001</v>
      </c>
      <c r="V218" s="36"/>
      <c r="X218" s="116" t="s">
        <v>261</v>
      </c>
    </row>
    <row r="219" spans="1:24" ht="16.5">
      <c r="A219" s="37" t="s">
        <v>571</v>
      </c>
      <c r="B219" s="32" t="s">
        <v>262</v>
      </c>
      <c r="C219" s="34" t="s">
        <v>85</v>
      </c>
      <c r="D219" s="34" t="s">
        <v>611</v>
      </c>
      <c r="E219" s="34">
        <v>2007</v>
      </c>
      <c r="F219" s="34">
        <v>2016</v>
      </c>
      <c r="G219" s="58">
        <v>28.122</v>
      </c>
      <c r="H219" s="58">
        <v>27.768000000000001</v>
      </c>
      <c r="I219" s="58"/>
      <c r="J219" s="34"/>
      <c r="K219" s="34" t="s">
        <v>611</v>
      </c>
      <c r="L219" s="34"/>
      <c r="M219" s="34"/>
      <c r="N219" s="34"/>
      <c r="O219" s="34" t="s">
        <v>611</v>
      </c>
      <c r="P219" s="58"/>
      <c r="Q219" s="58">
        <v>27.768000000000001</v>
      </c>
      <c r="R219" s="58"/>
      <c r="S219" s="58"/>
      <c r="T219" s="58"/>
      <c r="U219" s="60">
        <f>P219+Q219+R219+S219+T219</f>
        <v>27.768000000000001</v>
      </c>
      <c r="V219" s="36"/>
      <c r="X219" s="116" t="s">
        <v>262</v>
      </c>
    </row>
    <row r="220" spans="1:24" ht="69.75" customHeight="1">
      <c r="A220" s="37" t="s">
        <v>572</v>
      </c>
      <c r="B220" s="39" t="s">
        <v>706</v>
      </c>
      <c r="C220" s="34" t="s">
        <v>238</v>
      </c>
      <c r="D220" s="34"/>
      <c r="E220" s="34">
        <v>2015</v>
      </c>
      <c r="F220" s="34">
        <v>2019</v>
      </c>
      <c r="G220" s="58">
        <v>59</v>
      </c>
      <c r="H220" s="58">
        <v>59</v>
      </c>
      <c r="I220" s="58"/>
      <c r="J220" s="34"/>
      <c r="K220" s="34"/>
      <c r="L220" s="34"/>
      <c r="M220" s="34"/>
      <c r="N220" s="34"/>
      <c r="O220" s="34"/>
      <c r="P220" s="58">
        <v>11.8</v>
      </c>
      <c r="Q220" s="58">
        <v>11.8</v>
      </c>
      <c r="R220" s="58">
        <v>11.8</v>
      </c>
      <c r="S220" s="58">
        <v>11.8</v>
      </c>
      <c r="T220" s="58">
        <v>11.8</v>
      </c>
      <c r="U220" s="60">
        <f>P220+Q220+R220+S220+T220</f>
        <v>59</v>
      </c>
      <c r="V220" s="36"/>
      <c r="X220" s="121" t="s">
        <v>706</v>
      </c>
    </row>
    <row r="221" spans="1:24" ht="49.5">
      <c r="A221" s="37" t="s">
        <v>573</v>
      </c>
      <c r="B221" s="137" t="s">
        <v>315</v>
      </c>
      <c r="C221" s="34" t="s">
        <v>238</v>
      </c>
      <c r="D221" s="44" t="s">
        <v>316</v>
      </c>
      <c r="E221" s="41">
        <v>2016</v>
      </c>
      <c r="F221" s="41">
        <v>2016</v>
      </c>
      <c r="G221" s="76">
        <v>30.68</v>
      </c>
      <c r="H221" s="78">
        <v>30.68</v>
      </c>
      <c r="I221" s="76"/>
      <c r="J221" s="42"/>
      <c r="K221" s="44" t="s">
        <v>316</v>
      </c>
      <c r="M221" s="44"/>
      <c r="N221" s="44"/>
      <c r="O221" s="44" t="s">
        <v>316</v>
      </c>
      <c r="P221" s="58"/>
      <c r="Q221" s="58">
        <v>30.68</v>
      </c>
      <c r="R221" s="77"/>
      <c r="S221" s="58"/>
      <c r="T221" s="58"/>
      <c r="U221" s="60">
        <f t="shared" ref="U221:U225" si="20">SUM(P221:T221)</f>
        <v>30.68</v>
      </c>
      <c r="V221" s="36"/>
      <c r="X221" s="122" t="s">
        <v>315</v>
      </c>
    </row>
    <row r="222" spans="1:24" ht="49.5">
      <c r="A222" s="37" t="s">
        <v>574</v>
      </c>
      <c r="B222" s="137" t="s">
        <v>317</v>
      </c>
      <c r="C222" s="34" t="s">
        <v>238</v>
      </c>
      <c r="D222" s="44" t="s">
        <v>318</v>
      </c>
      <c r="E222" s="41">
        <v>2016</v>
      </c>
      <c r="F222" s="41">
        <v>2016</v>
      </c>
      <c r="G222" s="76">
        <v>127.44</v>
      </c>
      <c r="H222" s="76">
        <v>127.44</v>
      </c>
      <c r="I222" s="76"/>
      <c r="J222" s="42"/>
      <c r="K222" s="45" t="s">
        <v>318</v>
      </c>
      <c r="L222" s="45"/>
      <c r="M222" s="45"/>
      <c r="N222" s="44"/>
      <c r="O222" s="44" t="s">
        <v>318</v>
      </c>
      <c r="P222" s="58"/>
      <c r="Q222" s="58">
        <v>127.44</v>
      </c>
      <c r="R222" s="58"/>
      <c r="S222" s="58"/>
      <c r="T222" s="58"/>
      <c r="U222" s="60">
        <f t="shared" si="20"/>
        <v>127.44</v>
      </c>
      <c r="V222" s="36"/>
      <c r="X222" s="122" t="s">
        <v>317</v>
      </c>
    </row>
    <row r="223" spans="1:24" ht="33">
      <c r="A223" s="37" t="s">
        <v>575</v>
      </c>
      <c r="B223" s="137" t="s">
        <v>648</v>
      </c>
      <c r="C223" s="34" t="s">
        <v>238</v>
      </c>
      <c r="D223" s="44"/>
      <c r="E223" s="41">
        <v>2014</v>
      </c>
      <c r="F223" s="41">
        <v>2015</v>
      </c>
      <c r="G223" s="76">
        <v>23.6</v>
      </c>
      <c r="H223" s="78">
        <v>11.8</v>
      </c>
      <c r="I223" s="76">
        <v>11.8</v>
      </c>
      <c r="J223" s="42"/>
      <c r="K223" s="42"/>
      <c r="L223" s="44"/>
      <c r="M223" s="44"/>
      <c r="N223" s="44"/>
      <c r="O223" s="44"/>
      <c r="P223" s="58">
        <v>11.8</v>
      </c>
      <c r="Q223" s="58"/>
      <c r="R223" s="58"/>
      <c r="S223" s="58"/>
      <c r="T223" s="58"/>
      <c r="U223" s="60">
        <f t="shared" si="20"/>
        <v>11.8</v>
      </c>
      <c r="V223" s="36"/>
      <c r="X223" s="122" t="s">
        <v>648</v>
      </c>
    </row>
    <row r="224" spans="1:24" ht="49.5">
      <c r="A224" s="37" t="s">
        <v>576</v>
      </c>
      <c r="B224" s="137" t="s">
        <v>319</v>
      </c>
      <c r="C224" s="34" t="s">
        <v>238</v>
      </c>
      <c r="D224" s="44" t="s">
        <v>320</v>
      </c>
      <c r="E224" s="41">
        <v>2017</v>
      </c>
      <c r="F224" s="41">
        <v>2020</v>
      </c>
      <c r="G224" s="76">
        <v>1059.5999999999999</v>
      </c>
      <c r="H224" s="76">
        <v>1059.5999999999999</v>
      </c>
      <c r="I224" s="76"/>
      <c r="J224" s="42"/>
      <c r="K224" s="42"/>
      <c r="L224" s="45" t="s">
        <v>321</v>
      </c>
      <c r="M224" s="45" t="s">
        <v>294</v>
      </c>
      <c r="N224" s="45" t="s">
        <v>322</v>
      </c>
      <c r="O224" s="45" t="s">
        <v>323</v>
      </c>
      <c r="P224" s="58"/>
      <c r="Q224" s="58"/>
      <c r="R224" s="58">
        <v>295</v>
      </c>
      <c r="S224" s="58">
        <v>118</v>
      </c>
      <c r="T224" s="58">
        <v>413</v>
      </c>
      <c r="U224" s="60">
        <f t="shared" si="20"/>
        <v>826</v>
      </c>
      <c r="V224" s="36"/>
      <c r="X224" s="122" t="s">
        <v>319</v>
      </c>
    </row>
    <row r="225" spans="1:24" ht="49.5">
      <c r="A225" s="37" t="s">
        <v>577</v>
      </c>
      <c r="B225" s="137" t="s">
        <v>324</v>
      </c>
      <c r="C225" s="34" t="s">
        <v>238</v>
      </c>
      <c r="D225" s="44" t="s">
        <v>325</v>
      </c>
      <c r="E225" s="41">
        <v>2017</v>
      </c>
      <c r="F225" s="41">
        <v>2020</v>
      </c>
      <c r="G225" s="76">
        <v>1535.2</v>
      </c>
      <c r="H225" s="76">
        <v>1535.2</v>
      </c>
      <c r="I225" s="76"/>
      <c r="J225" s="42"/>
      <c r="K225" s="42"/>
      <c r="L225" s="44" t="s">
        <v>326</v>
      </c>
      <c r="M225" s="44" t="s">
        <v>294</v>
      </c>
      <c r="N225" s="44" t="s">
        <v>327</v>
      </c>
      <c r="O225" s="44" t="s">
        <v>328</v>
      </c>
      <c r="P225" s="58"/>
      <c r="Q225" s="58"/>
      <c r="R225" s="58">
        <v>468.46</v>
      </c>
      <c r="S225" s="58">
        <v>118</v>
      </c>
      <c r="T225" s="58">
        <v>531</v>
      </c>
      <c r="U225" s="60">
        <f t="shared" si="20"/>
        <v>1117.46</v>
      </c>
      <c r="V225" s="36"/>
      <c r="X225" s="122" t="s">
        <v>324</v>
      </c>
    </row>
    <row r="226" spans="1:24" ht="16.5">
      <c r="A226" s="37" t="s">
        <v>578</v>
      </c>
      <c r="B226" s="32" t="s">
        <v>371</v>
      </c>
      <c r="C226" s="34" t="s">
        <v>85</v>
      </c>
      <c r="D226" s="34" t="s">
        <v>614</v>
      </c>
      <c r="E226" s="34">
        <v>2013</v>
      </c>
      <c r="F226" s="34">
        <v>2016</v>
      </c>
      <c r="G226" s="58">
        <v>398.84</v>
      </c>
      <c r="H226" s="58">
        <f t="shared" ref="H226:H232" si="21">G226-I226</f>
        <v>316.24</v>
      </c>
      <c r="I226" s="58">
        <v>82.6</v>
      </c>
      <c r="J226" s="34"/>
      <c r="K226" s="34" t="s">
        <v>386</v>
      </c>
      <c r="L226" s="34"/>
      <c r="M226" s="34"/>
      <c r="N226" s="34"/>
      <c r="O226" s="34" t="s">
        <v>387</v>
      </c>
      <c r="P226" s="58">
        <f>72*1.18</f>
        <v>84.96</v>
      </c>
      <c r="Q226" s="58">
        <f>196*1.18</f>
        <v>231.28</v>
      </c>
      <c r="R226" s="58"/>
      <c r="S226" s="58"/>
      <c r="T226" s="58"/>
      <c r="U226" s="60">
        <f t="shared" ref="U226:U232" si="22">SUM(P226:T226)</f>
        <v>316.24</v>
      </c>
      <c r="V226" s="36"/>
      <c r="X226" s="116" t="s">
        <v>371</v>
      </c>
    </row>
    <row r="227" spans="1:24" ht="16.5">
      <c r="A227" s="37" t="s">
        <v>579</v>
      </c>
      <c r="B227" s="32" t="s">
        <v>372</v>
      </c>
      <c r="C227" s="34" t="s">
        <v>85</v>
      </c>
      <c r="D227" s="34" t="s">
        <v>614</v>
      </c>
      <c r="E227" s="34">
        <v>2013</v>
      </c>
      <c r="F227" s="34">
        <v>2016</v>
      </c>
      <c r="G227" s="58">
        <v>424.8</v>
      </c>
      <c r="H227" s="58">
        <f t="shared" si="21"/>
        <v>330.4</v>
      </c>
      <c r="I227" s="58">
        <v>94.4</v>
      </c>
      <c r="J227" s="34"/>
      <c r="K227" s="34" t="s">
        <v>386</v>
      </c>
      <c r="L227" s="34"/>
      <c r="M227" s="34"/>
      <c r="N227" s="34"/>
      <c r="O227" s="34" t="s">
        <v>387</v>
      </c>
      <c r="P227" s="58">
        <f>201*1.18</f>
        <v>237.17999999999998</v>
      </c>
      <c r="Q227" s="58">
        <f>79*1.18</f>
        <v>93.22</v>
      </c>
      <c r="R227" s="58"/>
      <c r="S227" s="58"/>
      <c r="T227" s="58"/>
      <c r="U227" s="60">
        <f t="shared" si="22"/>
        <v>330.4</v>
      </c>
      <c r="V227" s="36"/>
      <c r="X227" s="116" t="s">
        <v>372</v>
      </c>
    </row>
    <row r="228" spans="1:24" ht="49.5">
      <c r="A228" s="37" t="s">
        <v>580</v>
      </c>
      <c r="B228" s="32" t="s">
        <v>373</v>
      </c>
      <c r="C228" s="34" t="s">
        <v>85</v>
      </c>
      <c r="D228" s="34" t="s">
        <v>615</v>
      </c>
      <c r="E228" s="34">
        <v>2011</v>
      </c>
      <c r="F228" s="34">
        <v>2015</v>
      </c>
      <c r="G228" s="58">
        <v>1985.7619999999999</v>
      </c>
      <c r="H228" s="58">
        <f t="shared" si="21"/>
        <v>292.63999999999987</v>
      </c>
      <c r="I228" s="58">
        <v>1693.1220000000001</v>
      </c>
      <c r="J228" s="34" t="s">
        <v>628</v>
      </c>
      <c r="K228" s="34"/>
      <c r="L228" s="34"/>
      <c r="M228" s="34"/>
      <c r="N228" s="34"/>
      <c r="O228" s="34" t="s">
        <v>628</v>
      </c>
      <c r="P228" s="58">
        <f>248*1.18</f>
        <v>292.64</v>
      </c>
      <c r="Q228" s="58"/>
      <c r="R228" s="58"/>
      <c r="S228" s="58"/>
      <c r="T228" s="58"/>
      <c r="U228" s="60">
        <f t="shared" si="22"/>
        <v>292.64</v>
      </c>
      <c r="V228" s="36"/>
      <c r="X228" s="116" t="s">
        <v>373</v>
      </c>
    </row>
    <row r="229" spans="1:24" ht="33">
      <c r="A229" s="37" t="s">
        <v>581</v>
      </c>
      <c r="B229" s="32" t="s">
        <v>374</v>
      </c>
      <c r="C229" s="34" t="s">
        <v>85</v>
      </c>
      <c r="D229" s="34" t="s">
        <v>375</v>
      </c>
      <c r="E229" s="34">
        <v>2008</v>
      </c>
      <c r="F229" s="34">
        <v>2016</v>
      </c>
      <c r="G229" s="58">
        <v>70.8</v>
      </c>
      <c r="H229" s="58">
        <f t="shared" si="21"/>
        <v>70.8</v>
      </c>
      <c r="I229" s="58"/>
      <c r="J229" s="34"/>
      <c r="K229" s="34"/>
      <c r="L229" s="34"/>
      <c r="M229" s="34"/>
      <c r="N229" s="34" t="s">
        <v>376</v>
      </c>
      <c r="O229" s="34" t="s">
        <v>376</v>
      </c>
      <c r="P229" s="58">
        <f>60*1.18</f>
        <v>70.8</v>
      </c>
      <c r="Q229" s="58"/>
      <c r="R229" s="58"/>
      <c r="S229" s="58"/>
      <c r="T229" s="58"/>
      <c r="U229" s="60">
        <f t="shared" si="22"/>
        <v>70.8</v>
      </c>
      <c r="V229" s="36"/>
      <c r="X229" s="116" t="s">
        <v>374</v>
      </c>
    </row>
    <row r="230" spans="1:24" ht="31.5">
      <c r="A230" s="37" t="s">
        <v>582</v>
      </c>
      <c r="B230" s="32" t="s">
        <v>378</v>
      </c>
      <c r="C230" s="34" t="s">
        <v>85</v>
      </c>
      <c r="D230" s="34" t="s">
        <v>721</v>
      </c>
      <c r="E230" s="34">
        <v>2011</v>
      </c>
      <c r="F230" s="34">
        <v>2020</v>
      </c>
      <c r="G230" s="58">
        <v>1447.86</v>
      </c>
      <c r="H230" s="58">
        <f t="shared" si="21"/>
        <v>1447.86</v>
      </c>
      <c r="I230" s="58"/>
      <c r="J230" s="34"/>
      <c r="K230" s="34" t="s">
        <v>722</v>
      </c>
      <c r="L230" s="34" t="s">
        <v>722</v>
      </c>
      <c r="M230" s="34"/>
      <c r="N230" s="34"/>
      <c r="O230" s="34" t="s">
        <v>723</v>
      </c>
      <c r="P230" s="58"/>
      <c r="Q230" s="58"/>
      <c r="R230" s="58">
        <f>216.9*1.18</f>
        <v>255.94200000000001</v>
      </c>
      <c r="S230" s="58">
        <f>500*1.18</f>
        <v>590</v>
      </c>
      <c r="T230" s="58">
        <f>510.1*1.18</f>
        <v>601.91800000000001</v>
      </c>
      <c r="U230" s="60">
        <f t="shared" si="22"/>
        <v>1447.8600000000001</v>
      </c>
      <c r="V230" s="36"/>
      <c r="X230" s="116" t="s">
        <v>378</v>
      </c>
    </row>
    <row r="231" spans="1:24" ht="33">
      <c r="A231" s="37" t="s">
        <v>583</v>
      </c>
      <c r="B231" s="32" t="s">
        <v>379</v>
      </c>
      <c r="C231" s="34" t="s">
        <v>85</v>
      </c>
      <c r="D231" s="34" t="s">
        <v>380</v>
      </c>
      <c r="E231" s="34">
        <v>2011</v>
      </c>
      <c r="F231" s="34">
        <v>2019</v>
      </c>
      <c r="G231" s="58">
        <v>672.6</v>
      </c>
      <c r="H231" s="58">
        <f>G231-I231</f>
        <v>637.20000000000005</v>
      </c>
      <c r="I231" s="58">
        <v>35.4</v>
      </c>
      <c r="J231" s="34"/>
      <c r="K231" s="34" t="s">
        <v>316</v>
      </c>
      <c r="L231" s="34" t="s">
        <v>381</v>
      </c>
      <c r="M231" s="34" t="s">
        <v>381</v>
      </c>
      <c r="N231" s="34"/>
      <c r="O231" s="34" t="s">
        <v>388</v>
      </c>
      <c r="P231" s="58">
        <f>145*1.18</f>
        <v>171.1</v>
      </c>
      <c r="Q231" s="58"/>
      <c r="R231" s="58"/>
      <c r="S231" s="58">
        <f>120*1.18</f>
        <v>141.6</v>
      </c>
      <c r="T231" s="58">
        <f>275*1.18</f>
        <v>324.5</v>
      </c>
      <c r="U231" s="60">
        <f t="shared" si="22"/>
        <v>637.20000000000005</v>
      </c>
      <c r="V231" s="36"/>
      <c r="X231" s="116" t="s">
        <v>379</v>
      </c>
    </row>
    <row r="232" spans="1:24" ht="66">
      <c r="A232" s="37" t="s">
        <v>584</v>
      </c>
      <c r="B232" s="32" t="s">
        <v>382</v>
      </c>
      <c r="C232" s="34" t="s">
        <v>85</v>
      </c>
      <c r="D232" s="34" t="s">
        <v>383</v>
      </c>
      <c r="E232" s="34">
        <v>2014</v>
      </c>
      <c r="F232" s="34">
        <v>2019</v>
      </c>
      <c r="G232" s="58">
        <v>80.153999999999996</v>
      </c>
      <c r="H232" s="58">
        <f t="shared" si="21"/>
        <v>70.8</v>
      </c>
      <c r="I232" s="58">
        <v>9.3539999999999992</v>
      </c>
      <c r="J232" s="34" t="s">
        <v>601</v>
      </c>
      <c r="K232" s="34" t="s">
        <v>601</v>
      </c>
      <c r="L232" s="34" t="s">
        <v>601</v>
      </c>
      <c r="M232" s="34" t="s">
        <v>601</v>
      </c>
      <c r="N232" s="34" t="s">
        <v>601</v>
      </c>
      <c r="O232" s="34" t="s">
        <v>383</v>
      </c>
      <c r="P232" s="58">
        <f>12*1.18</f>
        <v>14.16</v>
      </c>
      <c r="Q232" s="58">
        <f>12*1.18</f>
        <v>14.16</v>
      </c>
      <c r="R232" s="58">
        <f>12*1.18</f>
        <v>14.16</v>
      </c>
      <c r="S232" s="58">
        <f>12*1.18</f>
        <v>14.16</v>
      </c>
      <c r="T232" s="58">
        <f>12*1.18</f>
        <v>14.16</v>
      </c>
      <c r="U232" s="60">
        <f t="shared" si="22"/>
        <v>70.8</v>
      </c>
      <c r="V232" s="36"/>
      <c r="X232" s="116" t="s">
        <v>382</v>
      </c>
    </row>
    <row r="233" spans="1:24" ht="74.25" customHeight="1">
      <c r="A233" s="37" t="s">
        <v>585</v>
      </c>
      <c r="B233" s="39" t="s">
        <v>697</v>
      </c>
      <c r="C233" s="34" t="s">
        <v>85</v>
      </c>
      <c r="D233" s="34" t="s">
        <v>384</v>
      </c>
      <c r="E233" s="34">
        <v>2015</v>
      </c>
      <c r="F233" s="34">
        <v>2018</v>
      </c>
      <c r="G233" s="58">
        <v>1475</v>
      </c>
      <c r="H233" s="58">
        <v>1475</v>
      </c>
      <c r="I233" s="58"/>
      <c r="J233" s="34" t="s">
        <v>385</v>
      </c>
      <c r="K233" s="34" t="s">
        <v>385</v>
      </c>
      <c r="L233" s="34" t="s">
        <v>385</v>
      </c>
      <c r="M233" s="34" t="s">
        <v>385</v>
      </c>
      <c r="N233" s="34" t="s">
        <v>385</v>
      </c>
      <c r="O233" s="34" t="s">
        <v>384</v>
      </c>
      <c r="P233" s="58">
        <f>250*1.18</f>
        <v>295</v>
      </c>
      <c r="Q233" s="58">
        <f>250*1.18</f>
        <v>295</v>
      </c>
      <c r="R233" s="58">
        <f>250*1.18</f>
        <v>295</v>
      </c>
      <c r="S233" s="58">
        <f>250*1.18</f>
        <v>295</v>
      </c>
      <c r="T233" s="58">
        <f>250*1.18</f>
        <v>295</v>
      </c>
      <c r="U233" s="60">
        <f>SUM(P233:T233)</f>
        <v>1475</v>
      </c>
      <c r="V233" s="36"/>
      <c r="X233" s="121" t="s">
        <v>697</v>
      </c>
    </row>
    <row r="234" spans="1:24" ht="16.5">
      <c r="A234" s="66" t="s">
        <v>5</v>
      </c>
      <c r="B234" s="73" t="s">
        <v>59</v>
      </c>
      <c r="C234" s="34"/>
      <c r="D234" s="67"/>
      <c r="E234" s="67"/>
      <c r="F234" s="67"/>
      <c r="G234" s="74">
        <f>SUM(G235:G246)</f>
        <v>1676.8999999999999</v>
      </c>
      <c r="H234" s="74">
        <f>SUM(H235:H246)</f>
        <v>1676.0149999999999</v>
      </c>
      <c r="I234" s="74">
        <f>SUM(I235:I246)</f>
        <v>0.88500000000000001</v>
      </c>
      <c r="J234" s="35"/>
      <c r="K234" s="35"/>
      <c r="L234" s="35"/>
      <c r="M234" s="35"/>
      <c r="N234" s="35"/>
      <c r="O234" s="35"/>
      <c r="P234" s="74">
        <f t="shared" ref="P234:U234" si="23">SUM(P235:P246)</f>
        <v>387.21299999999997</v>
      </c>
      <c r="Q234" s="74">
        <f t="shared" si="23"/>
        <v>22.659999999999997</v>
      </c>
      <c r="R234" s="74">
        <f t="shared" si="23"/>
        <v>374.51599999999996</v>
      </c>
      <c r="S234" s="74">
        <f t="shared" si="23"/>
        <v>474.17700000000002</v>
      </c>
      <c r="T234" s="74">
        <f t="shared" si="23"/>
        <v>417.44899999999996</v>
      </c>
      <c r="U234" s="75">
        <f t="shared" si="23"/>
        <v>1676.0149999999999</v>
      </c>
      <c r="V234" s="36"/>
      <c r="X234" s="123" t="s">
        <v>59</v>
      </c>
    </row>
    <row r="235" spans="1:24" ht="33">
      <c r="A235" s="37" t="s">
        <v>586</v>
      </c>
      <c r="B235" s="32" t="s">
        <v>124</v>
      </c>
      <c r="C235" s="34" t="s">
        <v>85</v>
      </c>
      <c r="D235" s="34"/>
      <c r="E235" s="34">
        <v>2013</v>
      </c>
      <c r="F235" s="34">
        <v>2018</v>
      </c>
      <c r="G235" s="58">
        <f>27.75*1.18</f>
        <v>32.744999999999997</v>
      </c>
      <c r="H235" s="58">
        <f>G235-I235</f>
        <v>31.859999999999996</v>
      </c>
      <c r="I235" s="58">
        <f>0.75*1.18</f>
        <v>0.88500000000000001</v>
      </c>
      <c r="J235" s="34"/>
      <c r="K235" s="34"/>
      <c r="L235" s="34"/>
      <c r="M235" s="34"/>
      <c r="N235" s="34"/>
      <c r="O235" s="34"/>
      <c r="P235" s="58"/>
      <c r="Q235" s="58"/>
      <c r="R235" s="58">
        <v>15.34</v>
      </c>
      <c r="S235" s="58">
        <v>16.52</v>
      </c>
      <c r="T235" s="58"/>
      <c r="U235" s="60">
        <f t="shared" ref="U235:U241" si="24">SUM(P235:T235)</f>
        <v>31.86</v>
      </c>
      <c r="V235" s="36"/>
      <c r="X235" s="116" t="s">
        <v>124</v>
      </c>
    </row>
    <row r="236" spans="1:24" ht="33">
      <c r="A236" s="37" t="s">
        <v>587</v>
      </c>
      <c r="B236" s="32" t="s">
        <v>390</v>
      </c>
      <c r="C236" s="34" t="s">
        <v>85</v>
      </c>
      <c r="D236" s="34"/>
      <c r="E236" s="34">
        <v>2015</v>
      </c>
      <c r="F236" s="34">
        <v>2019</v>
      </c>
      <c r="G236" s="58">
        <v>65.927000000000007</v>
      </c>
      <c r="H236" s="58">
        <v>65.927000000000007</v>
      </c>
      <c r="I236" s="58"/>
      <c r="J236" s="38"/>
      <c r="K236" s="38"/>
      <c r="L236" s="38"/>
      <c r="M236" s="38"/>
      <c r="N236" s="38"/>
      <c r="O236" s="38"/>
      <c r="P236" s="58">
        <v>12.927</v>
      </c>
      <c r="Q236" s="58">
        <v>10.26</v>
      </c>
      <c r="R236" s="58">
        <v>13.917999999999999</v>
      </c>
      <c r="S236" s="58">
        <v>10.26</v>
      </c>
      <c r="T236" s="58">
        <v>18.562000000000001</v>
      </c>
      <c r="U236" s="60">
        <f>P236+Q236+R236+S236+T236</f>
        <v>65.926999999999992</v>
      </c>
      <c r="V236" s="36"/>
      <c r="X236" s="116" t="s">
        <v>390</v>
      </c>
    </row>
    <row r="237" spans="1:24" ht="16.5">
      <c r="A237" s="37" t="s">
        <v>588</v>
      </c>
      <c r="B237" s="171" t="s">
        <v>329</v>
      </c>
      <c r="C237" s="34" t="s">
        <v>233</v>
      </c>
      <c r="D237" s="34"/>
      <c r="E237" s="34">
        <v>2017</v>
      </c>
      <c r="F237" s="34">
        <v>2017</v>
      </c>
      <c r="G237" s="58">
        <f>10*1.18</f>
        <v>11.799999999999999</v>
      </c>
      <c r="H237" s="58">
        <f>10*1.18</f>
        <v>11.799999999999999</v>
      </c>
      <c r="I237" s="58"/>
      <c r="J237" s="34"/>
      <c r="K237" s="34"/>
      <c r="L237" s="34"/>
      <c r="M237" s="34"/>
      <c r="N237" s="34"/>
      <c r="O237" s="34"/>
      <c r="P237" s="58"/>
      <c r="Q237" s="58"/>
      <c r="R237" s="58">
        <f>10*1.18</f>
        <v>11.799999999999999</v>
      </c>
      <c r="S237" s="58"/>
      <c r="T237" s="58"/>
      <c r="U237" s="60">
        <f t="shared" si="24"/>
        <v>11.799999999999999</v>
      </c>
      <c r="V237" s="36"/>
      <c r="X237" s="117" t="s">
        <v>329</v>
      </c>
    </row>
    <row r="238" spans="1:24" ht="33">
      <c r="A238" s="37" t="s">
        <v>589</v>
      </c>
      <c r="B238" s="171" t="s">
        <v>229</v>
      </c>
      <c r="C238" s="34" t="s">
        <v>233</v>
      </c>
      <c r="D238" s="34"/>
      <c r="E238" s="34">
        <v>2017</v>
      </c>
      <c r="F238" s="34">
        <v>2017</v>
      </c>
      <c r="G238" s="58">
        <f>16.5*1.18</f>
        <v>19.47</v>
      </c>
      <c r="H238" s="58">
        <f>16.5*1.18</f>
        <v>19.47</v>
      </c>
      <c r="I238" s="58"/>
      <c r="J238" s="34"/>
      <c r="K238" s="34"/>
      <c r="L238" s="34"/>
      <c r="M238" s="34"/>
      <c r="N238" s="34"/>
      <c r="O238" s="34"/>
      <c r="P238" s="58"/>
      <c r="Q238" s="58"/>
      <c r="R238" s="58">
        <f>16.5*1.18</f>
        <v>19.47</v>
      </c>
      <c r="S238" s="58"/>
      <c r="T238" s="58"/>
      <c r="U238" s="60">
        <f t="shared" si="24"/>
        <v>19.47</v>
      </c>
      <c r="V238" s="36"/>
      <c r="X238" s="117" t="s">
        <v>229</v>
      </c>
    </row>
    <row r="239" spans="1:24" ht="33">
      <c r="A239" s="37" t="s">
        <v>590</v>
      </c>
      <c r="B239" s="171" t="s">
        <v>230</v>
      </c>
      <c r="C239" s="34" t="s">
        <v>233</v>
      </c>
      <c r="D239" s="34"/>
      <c r="E239" s="34">
        <v>2016</v>
      </c>
      <c r="F239" s="34">
        <v>2017</v>
      </c>
      <c r="G239" s="58">
        <f>22*1.18</f>
        <v>25.959999999999997</v>
      </c>
      <c r="H239" s="58">
        <f>22*1.18</f>
        <v>25.959999999999997</v>
      </c>
      <c r="I239" s="58"/>
      <c r="J239" s="34"/>
      <c r="K239" s="34"/>
      <c r="L239" s="34"/>
      <c r="M239" s="34"/>
      <c r="N239" s="34"/>
      <c r="O239" s="34"/>
      <c r="P239" s="58"/>
      <c r="Q239" s="58">
        <f>2*1.18</f>
        <v>2.36</v>
      </c>
      <c r="R239" s="58">
        <f>20*1.18</f>
        <v>23.599999999999998</v>
      </c>
      <c r="S239" s="58"/>
      <c r="T239" s="58"/>
      <c r="U239" s="60">
        <f t="shared" si="24"/>
        <v>25.959999999999997</v>
      </c>
      <c r="V239" s="36"/>
      <c r="X239" s="117" t="s">
        <v>230</v>
      </c>
    </row>
    <row r="240" spans="1:24" ht="33">
      <c r="A240" s="37" t="s">
        <v>591</v>
      </c>
      <c r="B240" s="171" t="s">
        <v>231</v>
      </c>
      <c r="C240" s="34" t="s">
        <v>233</v>
      </c>
      <c r="D240" s="34"/>
      <c r="E240" s="34">
        <v>2017</v>
      </c>
      <c r="F240" s="34">
        <v>2018</v>
      </c>
      <c r="G240" s="58">
        <f>17*1.18</f>
        <v>20.059999999999999</v>
      </c>
      <c r="H240" s="58">
        <f>17*1.18</f>
        <v>20.059999999999999</v>
      </c>
      <c r="I240" s="58"/>
      <c r="J240" s="34"/>
      <c r="K240" s="34"/>
      <c r="L240" s="34"/>
      <c r="M240" s="34"/>
      <c r="N240" s="34"/>
      <c r="O240" s="34"/>
      <c r="P240" s="58"/>
      <c r="Q240" s="58"/>
      <c r="R240" s="58">
        <f>2*1.18</f>
        <v>2.36</v>
      </c>
      <c r="S240" s="58">
        <f>15*1.18</f>
        <v>17.7</v>
      </c>
      <c r="T240" s="58"/>
      <c r="U240" s="60">
        <f t="shared" si="24"/>
        <v>20.059999999999999</v>
      </c>
      <c r="V240" s="36"/>
      <c r="X240" s="117" t="s">
        <v>231</v>
      </c>
    </row>
    <row r="241" spans="1:24" ht="33">
      <c r="A241" s="37" t="s">
        <v>592</v>
      </c>
      <c r="B241" s="171" t="s">
        <v>232</v>
      </c>
      <c r="C241" s="34" t="s">
        <v>233</v>
      </c>
      <c r="D241" s="34"/>
      <c r="E241" s="34">
        <v>2018</v>
      </c>
      <c r="F241" s="34">
        <v>2019</v>
      </c>
      <c r="G241" s="58">
        <f>18*1.18</f>
        <v>21.24</v>
      </c>
      <c r="H241" s="58">
        <f>18*1.18</f>
        <v>21.24</v>
      </c>
      <c r="I241" s="58"/>
      <c r="J241" s="34"/>
      <c r="K241" s="34"/>
      <c r="L241" s="34"/>
      <c r="M241" s="34"/>
      <c r="N241" s="34"/>
      <c r="O241" s="34"/>
      <c r="P241" s="58"/>
      <c r="Q241" s="58"/>
      <c r="R241" s="58"/>
      <c r="S241" s="58">
        <f>3*1.18</f>
        <v>3.54</v>
      </c>
      <c r="T241" s="58">
        <f>15*1.18</f>
        <v>17.7</v>
      </c>
      <c r="U241" s="60">
        <f t="shared" si="24"/>
        <v>21.24</v>
      </c>
      <c r="V241" s="36"/>
      <c r="X241" s="117" t="s">
        <v>232</v>
      </c>
    </row>
    <row r="242" spans="1:24" ht="49.5">
      <c r="A242" s="37" t="s">
        <v>593</v>
      </c>
      <c r="B242" s="32" t="s">
        <v>263</v>
      </c>
      <c r="C242" s="34" t="s">
        <v>85</v>
      </c>
      <c r="D242" s="34"/>
      <c r="E242" s="34">
        <v>2015</v>
      </c>
      <c r="F242" s="34">
        <v>2015</v>
      </c>
      <c r="G242" s="58">
        <v>1.0029999999999999</v>
      </c>
      <c r="H242" s="58">
        <v>1.0029999999999999</v>
      </c>
      <c r="I242" s="58"/>
      <c r="J242" s="34"/>
      <c r="K242" s="34"/>
      <c r="L242" s="34"/>
      <c r="M242" s="34"/>
      <c r="N242" s="34"/>
      <c r="O242" s="34"/>
      <c r="P242" s="58">
        <v>1.0029999999999999</v>
      </c>
      <c r="Q242" s="58"/>
      <c r="R242" s="58"/>
      <c r="S242" s="58"/>
      <c r="T242" s="58"/>
      <c r="U242" s="60">
        <f>P242+Q242+R242+S242+T242</f>
        <v>1.0029999999999999</v>
      </c>
      <c r="V242" s="36"/>
      <c r="X242" s="116" t="s">
        <v>263</v>
      </c>
    </row>
    <row r="243" spans="1:24" ht="49.5">
      <c r="A243" s="37" t="s">
        <v>594</v>
      </c>
      <c r="B243" s="32" t="s">
        <v>389</v>
      </c>
      <c r="C243" s="34" t="s">
        <v>233</v>
      </c>
      <c r="D243" s="34"/>
      <c r="E243" s="34">
        <v>2015</v>
      </c>
      <c r="F243" s="34">
        <v>2020</v>
      </c>
      <c r="G243" s="58">
        <v>162.84</v>
      </c>
      <c r="H243" s="58">
        <v>162.84</v>
      </c>
      <c r="I243" s="58"/>
      <c r="J243" s="34"/>
      <c r="K243" s="34"/>
      <c r="L243" s="34"/>
      <c r="M243" s="34"/>
      <c r="N243" s="34"/>
      <c r="O243" s="67"/>
      <c r="P243" s="58"/>
      <c r="Q243" s="58"/>
      <c r="R243" s="58"/>
      <c r="S243" s="58">
        <f>130*1.18</f>
        <v>153.4</v>
      </c>
      <c r="T243" s="58">
        <f>8*1.18</f>
        <v>9.44</v>
      </c>
      <c r="U243" s="60">
        <f>SUM(P243:T243)</f>
        <v>162.84</v>
      </c>
      <c r="V243" s="36"/>
      <c r="X243" s="116" t="s">
        <v>389</v>
      </c>
    </row>
    <row r="244" spans="1:24" ht="33">
      <c r="A244" s="37" t="s">
        <v>595</v>
      </c>
      <c r="B244" s="175" t="s">
        <v>392</v>
      </c>
      <c r="C244" s="34" t="s">
        <v>85</v>
      </c>
      <c r="D244" s="34"/>
      <c r="E244" s="34">
        <v>2015</v>
      </c>
      <c r="F244" s="34">
        <v>2019</v>
      </c>
      <c r="G244" s="58">
        <v>800.77499999999998</v>
      </c>
      <c r="H244" s="58">
        <v>800.77499999999998</v>
      </c>
      <c r="I244" s="58"/>
      <c r="J244" s="34"/>
      <c r="K244" s="34"/>
      <c r="L244" s="34"/>
      <c r="M244" s="34"/>
      <c r="N244" s="34"/>
      <c r="O244" s="67"/>
      <c r="P244" s="58">
        <v>247.023</v>
      </c>
      <c r="Q244" s="58"/>
      <c r="R244" s="58">
        <v>161.768</v>
      </c>
      <c r="S244" s="58">
        <v>146.49700000000001</v>
      </c>
      <c r="T244" s="58">
        <v>245.48699999999999</v>
      </c>
      <c r="U244" s="60">
        <f>SUM(P244:T244)</f>
        <v>800.77499999999998</v>
      </c>
      <c r="V244" s="36"/>
      <c r="X244" s="125" t="s">
        <v>392</v>
      </c>
    </row>
    <row r="245" spans="1:24" ht="16.5">
      <c r="A245" s="37" t="s">
        <v>675</v>
      </c>
      <c r="B245" s="32" t="s">
        <v>391</v>
      </c>
      <c r="C245" s="34" t="s">
        <v>85</v>
      </c>
      <c r="D245" s="34"/>
      <c r="E245" s="34">
        <v>2015</v>
      </c>
      <c r="F245" s="34">
        <v>2019</v>
      </c>
      <c r="G245" s="58">
        <v>473.78</v>
      </c>
      <c r="H245" s="58">
        <f>G245-I245</f>
        <v>473.78</v>
      </c>
      <c r="I245" s="58"/>
      <c r="J245" s="34"/>
      <c r="K245" s="34"/>
      <c r="L245" s="34"/>
      <c r="M245" s="34"/>
      <c r="N245" s="34"/>
      <c r="O245" s="67"/>
      <c r="P245" s="58">
        <v>118</v>
      </c>
      <c r="Q245" s="58">
        <v>1.78</v>
      </c>
      <c r="R245" s="58">
        <v>118</v>
      </c>
      <c r="S245" s="58">
        <v>118</v>
      </c>
      <c r="T245" s="58">
        <v>118</v>
      </c>
      <c r="U245" s="60">
        <f>SUM(P245:T245)</f>
        <v>473.78</v>
      </c>
      <c r="V245" s="36"/>
      <c r="X245" s="116" t="s">
        <v>391</v>
      </c>
    </row>
    <row r="246" spans="1:24" ht="33">
      <c r="A246" s="37" t="s">
        <v>676</v>
      </c>
      <c r="B246" s="32" t="s">
        <v>695</v>
      </c>
      <c r="C246" s="34" t="s">
        <v>85</v>
      </c>
      <c r="D246" s="34"/>
      <c r="E246" s="34">
        <v>2015</v>
      </c>
      <c r="F246" s="34">
        <v>2019</v>
      </c>
      <c r="G246" s="58">
        <v>41.3</v>
      </c>
      <c r="H246" s="58">
        <v>41.3</v>
      </c>
      <c r="I246" s="58"/>
      <c r="J246" s="34"/>
      <c r="K246" s="34"/>
      <c r="L246" s="34"/>
      <c r="M246" s="34"/>
      <c r="N246" s="34"/>
      <c r="O246" s="34"/>
      <c r="P246" s="58">
        <f>7*1.18</f>
        <v>8.26</v>
      </c>
      <c r="Q246" s="58">
        <f>7*1.18</f>
        <v>8.26</v>
      </c>
      <c r="R246" s="58">
        <f>7*1.18</f>
        <v>8.26</v>
      </c>
      <c r="S246" s="58">
        <f>7*1.18</f>
        <v>8.26</v>
      </c>
      <c r="T246" s="58">
        <f>7*1.18</f>
        <v>8.26</v>
      </c>
      <c r="U246" s="60">
        <f>SUM(P246:T246)</f>
        <v>41.3</v>
      </c>
      <c r="V246" s="36"/>
      <c r="X246" s="116" t="s">
        <v>695</v>
      </c>
    </row>
    <row r="247" spans="1:24">
      <c r="A247" s="50"/>
      <c r="B247" s="50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36"/>
      <c r="X247" s="50"/>
    </row>
    <row r="248" spans="1:24" ht="20.25">
      <c r="A248" s="114" t="s">
        <v>739</v>
      </c>
      <c r="B248" s="115" t="s">
        <v>740</v>
      </c>
      <c r="C248" s="52"/>
      <c r="D248" s="52"/>
      <c r="E248" s="52"/>
      <c r="F248" s="52"/>
      <c r="G248" s="52"/>
      <c r="H248" s="52"/>
      <c r="P248" s="36"/>
      <c r="Q248" s="36"/>
      <c r="R248" s="36"/>
      <c r="S248" s="36"/>
      <c r="T248" s="36"/>
      <c r="V248" s="36"/>
      <c r="X248" s="115"/>
    </row>
    <row r="249" spans="1:24" ht="20.25">
      <c r="A249" s="114" t="s">
        <v>741</v>
      </c>
      <c r="B249" s="115" t="s">
        <v>742</v>
      </c>
      <c r="X249" s="115"/>
    </row>
    <row r="250" spans="1:24" ht="20.25">
      <c r="A250" s="114" t="s">
        <v>743</v>
      </c>
      <c r="B250" s="115" t="s">
        <v>744</v>
      </c>
      <c r="X250" s="115"/>
    </row>
    <row r="251" spans="1:24" ht="20.25">
      <c r="A251" s="114" t="s">
        <v>745</v>
      </c>
      <c r="B251" s="115" t="s">
        <v>746</v>
      </c>
      <c r="X251" s="115"/>
    </row>
  </sheetData>
  <mergeCells count="17">
    <mergeCell ref="J7:O7"/>
    <mergeCell ref="X7:X9"/>
    <mergeCell ref="O1:U1"/>
    <mergeCell ref="O2:U2"/>
    <mergeCell ref="O3:U3"/>
    <mergeCell ref="A4:U4"/>
    <mergeCell ref="A5:U5"/>
    <mergeCell ref="P7:U7"/>
    <mergeCell ref="A7:A9"/>
    <mergeCell ref="B7:B9"/>
    <mergeCell ref="C7:C8"/>
    <mergeCell ref="D7:D8"/>
    <mergeCell ref="E7:E9"/>
    <mergeCell ref="F7:F9"/>
    <mergeCell ref="G7:G8"/>
    <mergeCell ref="H7:H8"/>
    <mergeCell ref="I7:I8"/>
  </mergeCells>
  <pageMargins left="0.65" right="0.3" top="0.56000000000000005" bottom="0.74803149606299213" header="0.31496062992125984" footer="0.51181102362204722"/>
  <pageSetup paperSize="8" scale="53" fitToHeight="35" orientation="landscape" r:id="rId1"/>
  <headerFooter differentFirst="1" alignWithMargins="0">
    <oddHeader>&amp;C&amp;20&amp;P</oddHeader>
  </headerFooter>
  <rowBreaks count="1" manualBreakCount="1">
    <brk id="20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W259"/>
  <sheetViews>
    <sheetView view="pageBreakPreview" topLeftCell="M1" zoomScale="60" zoomScaleNormal="70" workbookViewId="0">
      <selection activeCell="F85" sqref="F85"/>
    </sheetView>
  </sheetViews>
  <sheetFormatPr defaultRowHeight="15.75" outlineLevelRow="1"/>
  <cols>
    <col min="1" max="1" width="5.375" style="5" customWidth="1"/>
    <col min="2" max="2" width="38.875" style="5" customWidth="1"/>
    <col min="3" max="7" width="12.125" style="5" customWidth="1"/>
    <col min="8" max="8" width="14.875" style="5" customWidth="1"/>
    <col min="9" max="14" width="7.875" style="5" customWidth="1"/>
    <col min="15" max="15" width="19.25" style="5" customWidth="1"/>
    <col min="16" max="19" width="11" style="5" customWidth="1"/>
    <col min="20" max="20" width="12.875" style="5" customWidth="1"/>
    <col min="21" max="25" width="13" style="5" customWidth="1"/>
    <col min="26" max="34" width="10" style="5" customWidth="1"/>
    <col min="35" max="35" width="12.5" style="5" customWidth="1"/>
    <col min="36" max="37" width="9" style="5"/>
    <col min="38" max="38" width="38.875" style="5" customWidth="1"/>
    <col min="39" max="16384" width="9" style="5"/>
  </cols>
  <sheetData>
    <row r="1" spans="1:58" ht="34.5">
      <c r="A1" s="159" t="s">
        <v>733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</row>
    <row r="2" spans="1:58" ht="16.5" thickBo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L2" s="70"/>
    </row>
    <row r="3" spans="1:58" ht="36" customHeight="1">
      <c r="A3" s="165" t="s">
        <v>0</v>
      </c>
      <c r="B3" s="156" t="s">
        <v>35</v>
      </c>
      <c r="C3" s="156" t="s">
        <v>25</v>
      </c>
      <c r="D3" s="156"/>
      <c r="E3" s="156"/>
      <c r="F3" s="156"/>
      <c r="G3" s="156"/>
      <c r="H3" s="156"/>
      <c r="I3" s="156" t="s">
        <v>49</v>
      </c>
      <c r="J3" s="156"/>
      <c r="K3" s="156"/>
      <c r="L3" s="156"/>
      <c r="M3" s="156"/>
      <c r="N3" s="156"/>
      <c r="O3" s="156" t="s">
        <v>738</v>
      </c>
      <c r="P3" s="158" t="s">
        <v>82</v>
      </c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68"/>
      <c r="AL3" s="156" t="s">
        <v>35</v>
      </c>
    </row>
    <row r="4" spans="1:58" ht="36" customHeight="1">
      <c r="A4" s="166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62" t="s">
        <v>655</v>
      </c>
      <c r="Q4" s="163"/>
      <c r="R4" s="163"/>
      <c r="S4" s="163"/>
      <c r="T4" s="164"/>
      <c r="U4" s="157" t="s">
        <v>656</v>
      </c>
      <c r="V4" s="157" t="s">
        <v>657</v>
      </c>
      <c r="W4" s="157" t="s">
        <v>658</v>
      </c>
      <c r="X4" s="157" t="s">
        <v>659</v>
      </c>
      <c r="Y4" s="157" t="s">
        <v>26</v>
      </c>
      <c r="Z4" s="162" t="s">
        <v>655</v>
      </c>
      <c r="AA4" s="163"/>
      <c r="AB4" s="163"/>
      <c r="AC4" s="163"/>
      <c r="AD4" s="164"/>
      <c r="AE4" s="157" t="s">
        <v>656</v>
      </c>
      <c r="AF4" s="157" t="s">
        <v>657</v>
      </c>
      <c r="AG4" s="157" t="s">
        <v>658</v>
      </c>
      <c r="AH4" s="157" t="s">
        <v>659</v>
      </c>
      <c r="AI4" s="167" t="s">
        <v>26</v>
      </c>
      <c r="AL4" s="157"/>
    </row>
    <row r="5" spans="1:58" ht="42" customHeight="1">
      <c r="A5" s="166"/>
      <c r="B5" s="157"/>
      <c r="C5" s="157" t="s">
        <v>735</v>
      </c>
      <c r="D5" s="157"/>
      <c r="E5" s="157"/>
      <c r="F5" s="157"/>
      <c r="G5" s="157"/>
      <c r="H5" s="157"/>
      <c r="I5" s="157" t="s">
        <v>735</v>
      </c>
      <c r="J5" s="157"/>
      <c r="K5" s="157"/>
      <c r="L5" s="157"/>
      <c r="M5" s="157"/>
      <c r="N5" s="157"/>
      <c r="O5" s="157"/>
      <c r="P5" s="113" t="s">
        <v>77</v>
      </c>
      <c r="Q5" s="113" t="s">
        <v>78</v>
      </c>
      <c r="R5" s="113" t="s">
        <v>79</v>
      </c>
      <c r="S5" s="113" t="s">
        <v>80</v>
      </c>
      <c r="T5" s="113" t="s">
        <v>81</v>
      </c>
      <c r="U5" s="157"/>
      <c r="V5" s="157"/>
      <c r="W5" s="157"/>
      <c r="X5" s="157"/>
      <c r="Y5" s="157"/>
      <c r="Z5" s="113" t="s">
        <v>77</v>
      </c>
      <c r="AA5" s="113" t="s">
        <v>78</v>
      </c>
      <c r="AB5" s="113" t="s">
        <v>79</v>
      </c>
      <c r="AC5" s="113" t="s">
        <v>80</v>
      </c>
      <c r="AD5" s="113" t="s">
        <v>81</v>
      </c>
      <c r="AE5" s="157"/>
      <c r="AF5" s="157"/>
      <c r="AG5" s="157"/>
      <c r="AH5" s="157"/>
      <c r="AI5" s="167"/>
      <c r="AK5" s="105" t="s">
        <v>734</v>
      </c>
      <c r="AL5" s="157"/>
    </row>
    <row r="6" spans="1:58" ht="21" customHeight="1">
      <c r="A6" s="166"/>
      <c r="B6" s="157"/>
      <c r="C6" s="113">
        <v>2015</v>
      </c>
      <c r="D6" s="113">
        <v>2016</v>
      </c>
      <c r="E6" s="113">
        <v>2017</v>
      </c>
      <c r="F6" s="113">
        <v>2018</v>
      </c>
      <c r="G6" s="113">
        <v>2019</v>
      </c>
      <c r="H6" s="113" t="s">
        <v>26</v>
      </c>
      <c r="I6" s="113">
        <v>2015</v>
      </c>
      <c r="J6" s="113">
        <v>2016</v>
      </c>
      <c r="K6" s="113">
        <v>2017</v>
      </c>
      <c r="L6" s="113">
        <v>2018</v>
      </c>
      <c r="M6" s="113">
        <v>2019</v>
      </c>
      <c r="N6" s="113" t="s">
        <v>26</v>
      </c>
      <c r="O6" s="113" t="s">
        <v>76</v>
      </c>
      <c r="P6" s="157" t="s">
        <v>756</v>
      </c>
      <c r="Q6" s="157"/>
      <c r="R6" s="157"/>
      <c r="S6" s="157"/>
      <c r="T6" s="157"/>
      <c r="U6" s="157"/>
      <c r="V6" s="157"/>
      <c r="W6" s="157"/>
      <c r="X6" s="157"/>
      <c r="Y6" s="157"/>
      <c r="Z6" s="160" t="s">
        <v>76</v>
      </c>
      <c r="AA6" s="160"/>
      <c r="AB6" s="160"/>
      <c r="AC6" s="160"/>
      <c r="AD6" s="160"/>
      <c r="AE6" s="160"/>
      <c r="AF6" s="160"/>
      <c r="AG6" s="160"/>
      <c r="AH6" s="160"/>
      <c r="AI6" s="161"/>
      <c r="AL6" s="157"/>
    </row>
    <row r="7" spans="1:58">
      <c r="A7" s="56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2">
        <v>32</v>
      </c>
      <c r="AG7" s="72">
        <v>33</v>
      </c>
      <c r="AH7" s="72">
        <v>34</v>
      </c>
      <c r="AI7" s="53">
        <v>35</v>
      </c>
      <c r="AL7" s="72">
        <v>2</v>
      </c>
    </row>
    <row r="8" spans="1:58" s="109" customFormat="1" ht="59.25" customHeight="1">
      <c r="A8" s="106"/>
      <c r="B8" s="107" t="s">
        <v>630</v>
      </c>
      <c r="C8" s="71" t="str">
        <f>TEXT(C9,"0,0")&amp;" МВА"&amp;"                   "&amp;TEXT(C178+C242,"0,0")&amp;" км"</f>
        <v>692,8 МВА                   646,5 км</v>
      </c>
      <c r="D8" s="71" t="str">
        <f t="shared" ref="D8:G8" si="0">TEXT(D9,"0,0")&amp;" МВА"&amp;"                   "&amp;TEXT(D178+D242,"0,0")&amp;" км"</f>
        <v>1181,8 МВА                   622,6 км</v>
      </c>
      <c r="E8" s="71" t="str">
        <f t="shared" si="0"/>
        <v>587,2 МВА                   656,2 км</v>
      </c>
      <c r="F8" s="71" t="str">
        <f t="shared" si="0"/>
        <v>444,0 МВА                   583,3 км</v>
      </c>
      <c r="G8" s="71" t="str">
        <f t="shared" si="0"/>
        <v>806,4 МВА                   823,9 км</v>
      </c>
      <c r="H8" s="71" t="str">
        <f>TEXT(H9,"0,0")&amp;" МВА"&amp;"                   "&amp;TEXT(H178+H242,"0,0")&amp;" км"</f>
        <v>3712,0 МВА                   3332,5 км</v>
      </c>
      <c r="I8" s="107"/>
      <c r="J8" s="107"/>
      <c r="K8" s="107"/>
      <c r="L8" s="107"/>
      <c r="M8" s="107"/>
      <c r="N8" s="107"/>
      <c r="O8" s="128">
        <f>O9+O178+O242</f>
        <v>37805.095039999993</v>
      </c>
      <c r="P8" s="71" t="str">
        <f>TEXT(P9,"0,0")&amp;" МВА"&amp;"                   "&amp;TEXT(P178+P242,"0,0")&amp;" км"</f>
        <v>0,0 МВА                   0,0 км</v>
      </c>
      <c r="Q8" s="71" t="str">
        <f t="shared" ref="Q8:Y8" si="1">TEXT(Q9,"0,0")&amp;" МВА"&amp;"                   "&amp;TEXT(Q178+Q242,"0,0")&amp;" км"</f>
        <v>0,5 МВА                   15,0 км</v>
      </c>
      <c r="R8" s="71" t="str">
        <f t="shared" si="1"/>
        <v>0,0 МВА                   5,0 км</v>
      </c>
      <c r="S8" s="71" t="str">
        <f t="shared" si="1"/>
        <v>692,3 МВА                   626,5 км</v>
      </c>
      <c r="T8" s="71" t="str">
        <f t="shared" si="1"/>
        <v>692,8 МВА                   646,5 км</v>
      </c>
      <c r="U8" s="71" t="str">
        <f t="shared" si="1"/>
        <v>1181,8 МВА                   622,6 км</v>
      </c>
      <c r="V8" s="71" t="str">
        <f t="shared" si="1"/>
        <v>587,2 МВА                   656,2 км</v>
      </c>
      <c r="W8" s="71" t="str">
        <f t="shared" si="1"/>
        <v>444,0 МВА                   583,3 км</v>
      </c>
      <c r="X8" s="71" t="str">
        <f t="shared" si="1"/>
        <v>806,4 МВА                   823,9 км</v>
      </c>
      <c r="Y8" s="71" t="str">
        <f t="shared" si="1"/>
        <v>3712,0 МВА                   3332,5 км</v>
      </c>
      <c r="Z8" s="74">
        <f>Z9+Z178+Z242</f>
        <v>358.5</v>
      </c>
      <c r="AA8" s="74">
        <f t="shared" ref="AA8:AI8" si="2">AA9+AA178+AA242</f>
        <v>687.8</v>
      </c>
      <c r="AB8" s="74">
        <f t="shared" si="2"/>
        <v>883.19999999999993</v>
      </c>
      <c r="AC8" s="74">
        <f t="shared" si="2"/>
        <v>2838.7774399999994</v>
      </c>
      <c r="AD8" s="74">
        <f t="shared" si="2"/>
        <v>4745.2774399999998</v>
      </c>
      <c r="AE8" s="74">
        <f t="shared" si="2"/>
        <v>5476.7139999999999</v>
      </c>
      <c r="AF8" s="74">
        <f t="shared" si="2"/>
        <v>5565.4509999999991</v>
      </c>
      <c r="AG8" s="74">
        <f t="shared" si="2"/>
        <v>5352.3060000000005</v>
      </c>
      <c r="AH8" s="74">
        <f t="shared" si="2"/>
        <v>8175.4399999999978</v>
      </c>
      <c r="AI8" s="74">
        <f t="shared" si="2"/>
        <v>29315.188440000005</v>
      </c>
      <c r="AL8" s="126" t="s">
        <v>630</v>
      </c>
    </row>
    <row r="9" spans="1:58" ht="16.5">
      <c r="A9" s="106"/>
      <c r="B9" s="107" t="s">
        <v>631</v>
      </c>
      <c r="C9" s="107">
        <f t="shared" ref="C9:AI9" si="3">SUM(C10:C175)</f>
        <v>692.75</v>
      </c>
      <c r="D9" s="107">
        <f t="shared" si="3"/>
        <v>1181.75</v>
      </c>
      <c r="E9" s="107">
        <f t="shared" si="3"/>
        <v>587.20000000000005</v>
      </c>
      <c r="F9" s="107">
        <f t="shared" si="3"/>
        <v>443.95</v>
      </c>
      <c r="G9" s="107">
        <f t="shared" si="3"/>
        <v>806.34999999999991</v>
      </c>
      <c r="H9" s="108">
        <f t="shared" si="3"/>
        <v>3711.9999999999995</v>
      </c>
      <c r="I9" s="107">
        <f t="shared" si="3"/>
        <v>0</v>
      </c>
      <c r="J9" s="107">
        <f t="shared" si="3"/>
        <v>0</v>
      </c>
      <c r="K9" s="107">
        <f t="shared" si="3"/>
        <v>0</v>
      </c>
      <c r="L9" s="107">
        <f t="shared" si="3"/>
        <v>0</v>
      </c>
      <c r="M9" s="107">
        <f t="shared" si="3"/>
        <v>0</v>
      </c>
      <c r="N9" s="107">
        <f t="shared" si="3"/>
        <v>0</v>
      </c>
      <c r="O9" s="128">
        <f t="shared" si="3"/>
        <v>18860.09302</v>
      </c>
      <c r="P9" s="107">
        <f t="shared" si="3"/>
        <v>0</v>
      </c>
      <c r="Q9" s="107">
        <f t="shared" si="3"/>
        <v>0.5</v>
      </c>
      <c r="R9" s="107">
        <f t="shared" si="3"/>
        <v>0</v>
      </c>
      <c r="S9" s="107">
        <f t="shared" si="3"/>
        <v>692.25</v>
      </c>
      <c r="T9" s="107">
        <f t="shared" si="3"/>
        <v>692.75</v>
      </c>
      <c r="U9" s="107">
        <f t="shared" si="3"/>
        <v>1181.75</v>
      </c>
      <c r="V9" s="107">
        <f t="shared" si="3"/>
        <v>587.20000000000005</v>
      </c>
      <c r="W9" s="107">
        <f t="shared" si="3"/>
        <v>443.95</v>
      </c>
      <c r="X9" s="107">
        <f t="shared" si="3"/>
        <v>806.34999999999991</v>
      </c>
      <c r="Y9" s="107">
        <f t="shared" si="3"/>
        <v>3711.9999999999995</v>
      </c>
      <c r="Z9" s="128">
        <f t="shared" si="3"/>
        <v>130</v>
      </c>
      <c r="AA9" s="128">
        <f t="shared" si="3"/>
        <v>347.3</v>
      </c>
      <c r="AB9" s="128">
        <f t="shared" si="3"/>
        <v>482.3</v>
      </c>
      <c r="AC9" s="128">
        <f t="shared" si="3"/>
        <v>1390.1264399999995</v>
      </c>
      <c r="AD9" s="128">
        <f t="shared" si="3"/>
        <v>2326.7264399999999</v>
      </c>
      <c r="AE9" s="128">
        <f t="shared" si="3"/>
        <v>2219.8000000000002</v>
      </c>
      <c r="AF9" s="128">
        <f t="shared" si="3"/>
        <v>2207.6409999999996</v>
      </c>
      <c r="AG9" s="128">
        <f t="shared" si="3"/>
        <v>2784.5684000000001</v>
      </c>
      <c r="AH9" s="128">
        <f t="shared" si="3"/>
        <v>4606.6767999999984</v>
      </c>
      <c r="AI9" s="129">
        <f t="shared" si="3"/>
        <v>14145.412640000002</v>
      </c>
      <c r="AL9" s="62" t="s">
        <v>631</v>
      </c>
    </row>
    <row r="10" spans="1:58" ht="33" outlineLevel="1">
      <c r="A10" s="135">
        <v>1</v>
      </c>
      <c r="B10" s="32" t="s">
        <v>86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>
        <v>75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>
        <v>75</v>
      </c>
      <c r="AF10" s="59"/>
      <c r="AG10" s="59"/>
      <c r="AH10" s="59"/>
      <c r="AI10" s="130">
        <f t="shared" ref="AI10:AI45" si="4">SUM(AD10:AH10)</f>
        <v>75</v>
      </c>
      <c r="AL10" s="116" t="s">
        <v>86</v>
      </c>
    </row>
    <row r="11" spans="1:58" ht="49.5" outlineLevel="1">
      <c r="A11" s="135">
        <v>2</v>
      </c>
      <c r="B11" s="32" t="s">
        <v>87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>
        <v>10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>
        <v>10</v>
      </c>
      <c r="AD11" s="59">
        <f>SUM(Z11:AC11)</f>
        <v>10</v>
      </c>
      <c r="AE11" s="59"/>
      <c r="AF11" s="59"/>
      <c r="AG11" s="59"/>
      <c r="AH11" s="59"/>
      <c r="AI11" s="130">
        <f t="shared" si="4"/>
        <v>10</v>
      </c>
      <c r="AL11" s="116" t="s">
        <v>87</v>
      </c>
    </row>
    <row r="12" spans="1:58" ht="33" outlineLevel="1">
      <c r="A12" s="135">
        <v>3</v>
      </c>
      <c r="B12" s="32" t="s">
        <v>90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>
        <f>23.5+24+24.5+25+25.5</f>
        <v>122.5</v>
      </c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>
        <v>23.5</v>
      </c>
      <c r="AC12" s="59"/>
      <c r="AD12" s="59">
        <f>SUM(Z12:AC12)</f>
        <v>23.5</v>
      </c>
      <c r="AE12" s="59">
        <v>24</v>
      </c>
      <c r="AF12" s="59">
        <v>24.5</v>
      </c>
      <c r="AG12" s="59">
        <v>25</v>
      </c>
      <c r="AH12" s="59">
        <v>25.5</v>
      </c>
      <c r="AI12" s="130">
        <f t="shared" si="4"/>
        <v>122.5</v>
      </c>
      <c r="AL12" s="116" t="s">
        <v>90</v>
      </c>
    </row>
    <row r="13" spans="1:58" ht="49.5" outlineLevel="1">
      <c r="A13" s="135">
        <v>4</v>
      </c>
      <c r="B13" s="32" t="s">
        <v>91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>
        <v>20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>
        <v>20</v>
      </c>
      <c r="AD13" s="59">
        <f>SUM(Z13:AC13)</f>
        <v>20</v>
      </c>
      <c r="AE13" s="59"/>
      <c r="AF13" s="59"/>
      <c r="AG13" s="59"/>
      <c r="AH13" s="59"/>
      <c r="AI13" s="130">
        <f t="shared" si="4"/>
        <v>20</v>
      </c>
      <c r="AL13" s="116" t="s">
        <v>91</v>
      </c>
    </row>
    <row r="14" spans="1:58" ht="66" outlineLevel="1">
      <c r="A14" s="135">
        <v>5</v>
      </c>
      <c r="B14" s="32" t="s">
        <v>96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>
        <v>9</v>
      </c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>
        <v>9</v>
      </c>
      <c r="AI14" s="130">
        <f t="shared" si="4"/>
        <v>9</v>
      </c>
      <c r="AL14" s="116" t="s">
        <v>96</v>
      </c>
    </row>
    <row r="15" spans="1:58" ht="49.5" outlineLevel="1">
      <c r="A15" s="135">
        <v>6</v>
      </c>
      <c r="B15" s="32" t="s">
        <v>97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>
        <v>21</v>
      </c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>
        <v>21</v>
      </c>
      <c r="AG15" s="59"/>
      <c r="AH15" s="59"/>
      <c r="AI15" s="130">
        <f t="shared" si="4"/>
        <v>21</v>
      </c>
      <c r="AL15" s="116" t="s">
        <v>97</v>
      </c>
    </row>
    <row r="16" spans="1:58" ht="33" outlineLevel="1">
      <c r="A16" s="135">
        <v>7</v>
      </c>
      <c r="B16" s="32" t="s">
        <v>101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>
        <v>2</v>
      </c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>
        <v>2</v>
      </c>
      <c r="AD16" s="59">
        <f>SUM(Z16:AC16)</f>
        <v>2</v>
      </c>
      <c r="AE16" s="59"/>
      <c r="AF16" s="59"/>
      <c r="AG16" s="59"/>
      <c r="AH16" s="59"/>
      <c r="AI16" s="130">
        <f t="shared" si="4"/>
        <v>2</v>
      </c>
      <c r="AL16" s="116" t="s">
        <v>101</v>
      </c>
    </row>
    <row r="17" spans="1:38" ht="49.5" outlineLevel="1">
      <c r="A17" s="135">
        <v>8</v>
      </c>
      <c r="B17" s="32" t="s">
        <v>102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>
        <v>3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>
        <v>3</v>
      </c>
      <c r="AD17" s="59">
        <f>SUM(Z17:AC17)</f>
        <v>3</v>
      </c>
      <c r="AE17" s="59"/>
      <c r="AF17" s="59"/>
      <c r="AG17" s="59"/>
      <c r="AH17" s="59"/>
      <c r="AI17" s="130">
        <f t="shared" si="4"/>
        <v>3</v>
      </c>
      <c r="AL17" s="116" t="s">
        <v>102</v>
      </c>
    </row>
    <row r="18" spans="1:38" ht="49.5" outlineLevel="1">
      <c r="A18" s="135">
        <v>9</v>
      </c>
      <c r="B18" s="32" t="s">
        <v>103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>
        <v>6</v>
      </c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>
        <v>6</v>
      </c>
      <c r="AF18" s="59"/>
      <c r="AG18" s="59"/>
      <c r="AH18" s="59"/>
      <c r="AI18" s="130">
        <f t="shared" si="4"/>
        <v>6</v>
      </c>
      <c r="AL18" s="116" t="s">
        <v>103</v>
      </c>
    </row>
    <row r="19" spans="1:38" ht="82.5" outlineLevel="1">
      <c r="A19" s="135">
        <v>10</v>
      </c>
      <c r="B19" s="32" t="s">
        <v>104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>
        <v>11</v>
      </c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>
        <v>11</v>
      </c>
      <c r="AF19" s="59"/>
      <c r="AG19" s="59"/>
      <c r="AH19" s="59"/>
      <c r="AI19" s="130">
        <f t="shared" si="4"/>
        <v>11</v>
      </c>
      <c r="AL19" s="116" t="s">
        <v>104</v>
      </c>
    </row>
    <row r="20" spans="1:38" ht="66" outlineLevel="1">
      <c r="A20" s="135">
        <v>11</v>
      </c>
      <c r="B20" s="32" t="s">
        <v>105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>
        <v>6.5</v>
      </c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>
        <v>6.5</v>
      </c>
      <c r="AF20" s="59"/>
      <c r="AG20" s="59"/>
      <c r="AH20" s="59"/>
      <c r="AI20" s="130">
        <f t="shared" si="4"/>
        <v>6.5</v>
      </c>
      <c r="AL20" s="116" t="s">
        <v>105</v>
      </c>
    </row>
    <row r="21" spans="1:38" ht="66" outlineLevel="1">
      <c r="A21" s="135">
        <v>12</v>
      </c>
      <c r="B21" s="32" t="s">
        <v>106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>
        <v>4.5</v>
      </c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>
        <v>4.5</v>
      </c>
      <c r="AF21" s="59"/>
      <c r="AG21" s="59"/>
      <c r="AH21" s="59"/>
      <c r="AI21" s="130">
        <f t="shared" si="4"/>
        <v>4.5</v>
      </c>
      <c r="AL21" s="116" t="s">
        <v>106</v>
      </c>
    </row>
    <row r="22" spans="1:38" ht="66" outlineLevel="1">
      <c r="A22" s="135">
        <v>13</v>
      </c>
      <c r="B22" s="32" t="s">
        <v>107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>
        <v>16</v>
      </c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>
        <v>16</v>
      </c>
      <c r="AF22" s="59"/>
      <c r="AG22" s="59"/>
      <c r="AH22" s="59"/>
      <c r="AI22" s="130">
        <f t="shared" si="4"/>
        <v>16</v>
      </c>
      <c r="AL22" s="116" t="s">
        <v>107</v>
      </c>
    </row>
    <row r="23" spans="1:38" ht="66" outlineLevel="1">
      <c r="A23" s="135">
        <v>14</v>
      </c>
      <c r="B23" s="32" t="s">
        <v>108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>
        <v>3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>
        <v>3</v>
      </c>
      <c r="AF23" s="59"/>
      <c r="AG23" s="59"/>
      <c r="AH23" s="59"/>
      <c r="AI23" s="130">
        <f t="shared" si="4"/>
        <v>3</v>
      </c>
      <c r="AL23" s="116" t="s">
        <v>108</v>
      </c>
    </row>
    <row r="24" spans="1:38" ht="33" outlineLevel="1">
      <c r="A24" s="135">
        <v>15</v>
      </c>
      <c r="B24" s="32" t="s">
        <v>110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>
        <v>5</v>
      </c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>
        <v>5</v>
      </c>
      <c r="AF24" s="59"/>
      <c r="AG24" s="59"/>
      <c r="AH24" s="59"/>
      <c r="AI24" s="130">
        <f t="shared" si="4"/>
        <v>5</v>
      </c>
      <c r="AL24" s="116" t="s">
        <v>110</v>
      </c>
    </row>
    <row r="25" spans="1:38" ht="33" outlineLevel="1">
      <c r="A25" s="135">
        <v>16</v>
      </c>
      <c r="B25" s="32" t="s">
        <v>111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>
        <v>5</v>
      </c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>
        <v>5</v>
      </c>
      <c r="AF25" s="59"/>
      <c r="AG25" s="59"/>
      <c r="AH25" s="59"/>
      <c r="AI25" s="130">
        <f t="shared" si="4"/>
        <v>5</v>
      </c>
      <c r="AL25" s="116" t="s">
        <v>111</v>
      </c>
    </row>
    <row r="26" spans="1:38" ht="33" outlineLevel="1">
      <c r="A26" s="135">
        <v>17</v>
      </c>
      <c r="B26" s="32" t="s">
        <v>112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>
        <v>4</v>
      </c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>
        <v>4</v>
      </c>
      <c r="AF26" s="59"/>
      <c r="AG26" s="59"/>
      <c r="AH26" s="59"/>
      <c r="AI26" s="130">
        <f t="shared" si="4"/>
        <v>4</v>
      </c>
      <c r="AL26" s="116" t="s">
        <v>112</v>
      </c>
    </row>
    <row r="27" spans="1:38" ht="49.5" outlineLevel="1">
      <c r="A27" s="135">
        <v>18</v>
      </c>
      <c r="B27" s="32" t="s">
        <v>113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>
        <v>1</v>
      </c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>
        <v>1</v>
      </c>
      <c r="AF27" s="59"/>
      <c r="AG27" s="59"/>
      <c r="AH27" s="59"/>
      <c r="AI27" s="130">
        <f t="shared" si="4"/>
        <v>1</v>
      </c>
      <c r="AL27" s="116" t="s">
        <v>113</v>
      </c>
    </row>
    <row r="28" spans="1:38" ht="33" outlineLevel="1">
      <c r="A28" s="135">
        <v>19</v>
      </c>
      <c r="B28" s="32" t="s">
        <v>114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>
        <v>4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>
        <v>4</v>
      </c>
      <c r="AF28" s="59"/>
      <c r="AG28" s="59"/>
      <c r="AH28" s="59"/>
      <c r="AI28" s="130">
        <f t="shared" si="4"/>
        <v>4</v>
      </c>
      <c r="AL28" s="116" t="s">
        <v>114</v>
      </c>
    </row>
    <row r="29" spans="1:38" ht="66" outlineLevel="1">
      <c r="A29" s="135">
        <v>20</v>
      </c>
      <c r="B29" s="32" t="s">
        <v>119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>
        <f>5+3+3</f>
        <v>11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>
        <v>5</v>
      </c>
      <c r="AG29" s="59">
        <v>3</v>
      </c>
      <c r="AH29" s="59">
        <v>3</v>
      </c>
      <c r="AI29" s="130">
        <f t="shared" si="4"/>
        <v>11</v>
      </c>
      <c r="AL29" s="116" t="s">
        <v>119</v>
      </c>
    </row>
    <row r="30" spans="1:38" ht="49.5" outlineLevel="1">
      <c r="A30" s="135">
        <v>21</v>
      </c>
      <c r="B30" s="32" t="s">
        <v>120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>
        <f>1+2+1</f>
        <v>4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>
        <v>1</v>
      </c>
      <c r="AG30" s="59">
        <v>2</v>
      </c>
      <c r="AH30" s="59">
        <v>1</v>
      </c>
      <c r="AI30" s="130">
        <f t="shared" si="4"/>
        <v>4</v>
      </c>
      <c r="AL30" s="116" t="s">
        <v>120</v>
      </c>
    </row>
    <row r="31" spans="1:38" ht="33" outlineLevel="1">
      <c r="A31" s="135">
        <v>22</v>
      </c>
      <c r="B31" s="32" t="s">
        <v>121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>
        <f>17+18+19</f>
        <v>54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>
        <v>17</v>
      </c>
      <c r="AG31" s="59">
        <v>18</v>
      </c>
      <c r="AH31" s="59">
        <v>19</v>
      </c>
      <c r="AI31" s="130">
        <f t="shared" si="4"/>
        <v>54</v>
      </c>
      <c r="AL31" s="116" t="s">
        <v>121</v>
      </c>
    </row>
    <row r="32" spans="1:38" ht="49.5" outlineLevel="1">
      <c r="A32" s="135">
        <v>23</v>
      </c>
      <c r="B32" s="32" t="s">
        <v>123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>
        <v>12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>
        <v>12</v>
      </c>
      <c r="AH32" s="59"/>
      <c r="AI32" s="130">
        <f t="shared" si="4"/>
        <v>12</v>
      </c>
      <c r="AL32" s="116" t="s">
        <v>123</v>
      </c>
    </row>
    <row r="33" spans="1:38" ht="33" outlineLevel="1">
      <c r="A33" s="135">
        <v>24</v>
      </c>
      <c r="B33" s="32" t="s">
        <v>125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>
        <v>2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>
        <v>2</v>
      </c>
      <c r="AH33" s="59"/>
      <c r="AI33" s="130">
        <f t="shared" si="4"/>
        <v>2</v>
      </c>
      <c r="AL33" s="116" t="s">
        <v>125</v>
      </c>
    </row>
    <row r="34" spans="1:38" ht="66" outlineLevel="1">
      <c r="A34" s="135">
        <v>25</v>
      </c>
      <c r="B34" s="32" t="s">
        <v>126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>
        <f>4</f>
        <v>4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>
        <v>4</v>
      </c>
      <c r="AH34" s="59"/>
      <c r="AI34" s="130">
        <f t="shared" si="4"/>
        <v>4</v>
      </c>
      <c r="AL34" s="116" t="s">
        <v>126</v>
      </c>
    </row>
    <row r="35" spans="1:38" ht="33" outlineLevel="1">
      <c r="A35" s="135">
        <v>26</v>
      </c>
      <c r="B35" s="32" t="s">
        <v>127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>
        <v>10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>
        <v>10</v>
      </c>
      <c r="AI35" s="130">
        <f t="shared" si="4"/>
        <v>10</v>
      </c>
      <c r="AL35" s="116" t="s">
        <v>127</v>
      </c>
    </row>
    <row r="36" spans="1:38" ht="66" outlineLevel="1">
      <c r="A36" s="135">
        <v>27</v>
      </c>
      <c r="B36" s="32" t="s">
        <v>128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>
        <v>46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>
        <v>46</v>
      </c>
      <c r="AI36" s="130">
        <f t="shared" si="4"/>
        <v>46</v>
      </c>
      <c r="AL36" s="116" t="s">
        <v>128</v>
      </c>
    </row>
    <row r="37" spans="1:38" ht="82.5" outlineLevel="1">
      <c r="A37" s="135">
        <v>28</v>
      </c>
      <c r="B37" s="32" t="s">
        <v>632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>
        <v>2</v>
      </c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>
        <v>2</v>
      </c>
      <c r="AI37" s="130">
        <f t="shared" si="4"/>
        <v>2</v>
      </c>
      <c r="AL37" s="116" t="s">
        <v>632</v>
      </c>
    </row>
    <row r="38" spans="1:38" ht="33" outlineLevel="1">
      <c r="A38" s="135">
        <v>29</v>
      </c>
      <c r="B38" s="32" t="s">
        <v>109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>
        <v>36</v>
      </c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>
        <v>36</v>
      </c>
      <c r="AF38" s="59"/>
      <c r="AG38" s="59"/>
      <c r="AH38" s="59"/>
      <c r="AI38" s="130">
        <f t="shared" si="4"/>
        <v>36</v>
      </c>
      <c r="AL38" s="116" t="s">
        <v>109</v>
      </c>
    </row>
    <row r="39" spans="1:38" ht="16.5" outlineLevel="1">
      <c r="A39" s="135">
        <v>30</v>
      </c>
      <c r="B39" s="32" t="s">
        <v>650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>
        <f>3+21.9+35</f>
        <v>59.9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>
        <v>3</v>
      </c>
      <c r="AG39" s="59">
        <v>21.9</v>
      </c>
      <c r="AH39" s="59">
        <v>35</v>
      </c>
      <c r="AI39" s="130">
        <f t="shared" si="4"/>
        <v>59.9</v>
      </c>
      <c r="AL39" s="116" t="s">
        <v>650</v>
      </c>
    </row>
    <row r="40" spans="1:38" ht="33" outlineLevel="1">
      <c r="A40" s="135">
        <v>31</v>
      </c>
      <c r="B40" s="32" t="s">
        <v>629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79.5</v>
      </c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>
        <v>27</v>
      </c>
      <c r="AD40" s="59">
        <f>SUM(Z40:AC40)</f>
        <v>27</v>
      </c>
      <c r="AE40" s="59">
        <v>33.5</v>
      </c>
      <c r="AF40" s="59">
        <v>9</v>
      </c>
      <c r="AG40" s="59">
        <v>10</v>
      </c>
      <c r="AH40" s="59"/>
      <c r="AI40" s="130">
        <f t="shared" si="4"/>
        <v>79.5</v>
      </c>
      <c r="AL40" s="116" t="s">
        <v>629</v>
      </c>
    </row>
    <row r="41" spans="1:38" ht="66" outlineLevel="1">
      <c r="A41" s="135">
        <v>32</v>
      </c>
      <c r="B41" s="32" t="s">
        <v>99</v>
      </c>
      <c r="C41" s="59"/>
      <c r="D41" s="59"/>
      <c r="E41" s="59"/>
      <c r="F41" s="59"/>
      <c r="G41" s="59">
        <v>400</v>
      </c>
      <c r="H41" s="59">
        <v>400</v>
      </c>
      <c r="I41" s="59"/>
      <c r="J41" s="59"/>
      <c r="K41" s="59"/>
      <c r="L41" s="59"/>
      <c r="M41" s="59"/>
      <c r="N41" s="59"/>
      <c r="O41" s="59">
        <v>1436.3</v>
      </c>
      <c r="P41" s="59"/>
      <c r="Q41" s="59"/>
      <c r="R41" s="59"/>
      <c r="S41" s="59"/>
      <c r="T41" s="59"/>
      <c r="U41" s="59"/>
      <c r="V41" s="59"/>
      <c r="W41" s="59"/>
      <c r="X41" s="59">
        <v>400</v>
      </c>
      <c r="Y41" s="59">
        <f>SUM(T41:X41)</f>
        <v>400</v>
      </c>
      <c r="Z41" s="59"/>
      <c r="AA41" s="59"/>
      <c r="AB41" s="59"/>
      <c r="AC41" s="59"/>
      <c r="AD41" s="59"/>
      <c r="AE41" s="59"/>
      <c r="AF41" s="59"/>
      <c r="AG41" s="59"/>
      <c r="AH41" s="59">
        <v>1436.3</v>
      </c>
      <c r="AI41" s="130">
        <f t="shared" si="4"/>
        <v>1436.3</v>
      </c>
      <c r="AL41" s="116" t="s">
        <v>99</v>
      </c>
    </row>
    <row r="42" spans="1:38" ht="33" outlineLevel="1">
      <c r="A42" s="135">
        <v>33</v>
      </c>
      <c r="B42" s="32" t="s">
        <v>124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>
        <v>28</v>
      </c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>
        <v>28</v>
      </c>
      <c r="AH42" s="59"/>
      <c r="AI42" s="130">
        <f t="shared" si="4"/>
        <v>28</v>
      </c>
      <c r="AL42" s="116" t="s">
        <v>124</v>
      </c>
    </row>
    <row r="43" spans="1:38" ht="33" outlineLevel="1">
      <c r="A43" s="135">
        <v>34</v>
      </c>
      <c r="B43" s="32" t="s">
        <v>390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>
        <v>54.44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>
        <v>11.98</v>
      </c>
      <c r="AD43" s="59">
        <v>11.98</v>
      </c>
      <c r="AE43" s="59">
        <v>9.7200000000000006</v>
      </c>
      <c r="AF43" s="59">
        <v>9.7200000000000006</v>
      </c>
      <c r="AG43" s="59">
        <v>9.7200000000000006</v>
      </c>
      <c r="AH43" s="59">
        <v>10.17</v>
      </c>
      <c r="AI43" s="130">
        <v>51.31</v>
      </c>
      <c r="AL43" s="116" t="s">
        <v>390</v>
      </c>
    </row>
    <row r="44" spans="1:38" ht="66" outlineLevel="1">
      <c r="A44" s="135">
        <v>35</v>
      </c>
      <c r="B44" s="32" t="s">
        <v>633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>
        <v>3.1</v>
      </c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>
        <v>3.1</v>
      </c>
      <c r="AG44" s="59"/>
      <c r="AH44" s="59"/>
      <c r="AI44" s="130">
        <f t="shared" si="4"/>
        <v>3.1</v>
      </c>
      <c r="AL44" s="116" t="s">
        <v>633</v>
      </c>
    </row>
    <row r="45" spans="1:38" ht="49.5" outlineLevel="1">
      <c r="A45" s="135">
        <v>36</v>
      </c>
      <c r="B45" s="32" t="s">
        <v>703</v>
      </c>
      <c r="C45" s="59">
        <v>1</v>
      </c>
      <c r="D45" s="59">
        <v>1</v>
      </c>
      <c r="E45" s="59">
        <v>1</v>
      </c>
      <c r="F45" s="59">
        <v>1</v>
      </c>
      <c r="G45" s="59">
        <v>1</v>
      </c>
      <c r="H45" s="59">
        <f>SUM(C45:G45)</f>
        <v>5</v>
      </c>
      <c r="I45" s="59"/>
      <c r="J45" s="59"/>
      <c r="K45" s="59"/>
      <c r="L45" s="59"/>
      <c r="M45" s="59"/>
      <c r="N45" s="59"/>
      <c r="O45" s="59">
        <v>25</v>
      </c>
      <c r="P45" s="59"/>
      <c r="Q45" s="59">
        <v>0.5</v>
      </c>
      <c r="R45" s="59"/>
      <c r="S45" s="59">
        <v>0.5</v>
      </c>
      <c r="T45" s="59">
        <f>SUM(P45:S45)</f>
        <v>1</v>
      </c>
      <c r="U45" s="59">
        <v>1</v>
      </c>
      <c r="V45" s="59">
        <v>1</v>
      </c>
      <c r="W45" s="59">
        <v>1</v>
      </c>
      <c r="X45" s="59">
        <v>1</v>
      </c>
      <c r="Y45" s="59">
        <f>SUM(T45:X45)</f>
        <v>5</v>
      </c>
      <c r="Z45" s="59"/>
      <c r="AA45" s="59">
        <v>2.5</v>
      </c>
      <c r="AB45" s="59"/>
      <c r="AC45" s="59">
        <v>2.5</v>
      </c>
      <c r="AD45" s="59">
        <f>SUM(Z45:AC45)</f>
        <v>5</v>
      </c>
      <c r="AE45" s="59">
        <v>5</v>
      </c>
      <c r="AF45" s="59">
        <v>5</v>
      </c>
      <c r="AG45" s="59">
        <v>5</v>
      </c>
      <c r="AH45" s="59">
        <v>5</v>
      </c>
      <c r="AI45" s="130">
        <f t="shared" si="4"/>
        <v>25</v>
      </c>
      <c r="AL45" s="116" t="s">
        <v>703</v>
      </c>
    </row>
    <row r="46" spans="1:38" ht="66" outlineLevel="1">
      <c r="A46" s="135">
        <v>37</v>
      </c>
      <c r="B46" s="136" t="s">
        <v>680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>
        <v>275</v>
      </c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>
        <v>25</v>
      </c>
      <c r="AD46" s="59">
        <v>25</v>
      </c>
      <c r="AE46" s="59">
        <v>25</v>
      </c>
      <c r="AF46" s="59">
        <v>75</v>
      </c>
      <c r="AG46" s="59">
        <v>75</v>
      </c>
      <c r="AH46" s="59">
        <v>75</v>
      </c>
      <c r="AI46" s="130">
        <f t="shared" ref="AI46:AI70" si="5">SUM(AD46:AH46)</f>
        <v>275</v>
      </c>
      <c r="AL46" s="122" t="s">
        <v>680</v>
      </c>
    </row>
    <row r="47" spans="1:38" s="31" customFormat="1" ht="16.5">
      <c r="A47" s="135">
        <v>38</v>
      </c>
      <c r="B47" s="137" t="s">
        <v>272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>
        <v>104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>
        <v>16</v>
      </c>
      <c r="AD47" s="59">
        <v>16</v>
      </c>
      <c r="AE47" s="59">
        <v>16</v>
      </c>
      <c r="AF47" s="59">
        <v>24</v>
      </c>
      <c r="AG47" s="59">
        <v>24</v>
      </c>
      <c r="AH47" s="59">
        <v>24</v>
      </c>
      <c r="AI47" s="130">
        <f t="shared" si="5"/>
        <v>104</v>
      </c>
      <c r="AJ47" s="5"/>
      <c r="AL47" s="122" t="s">
        <v>272</v>
      </c>
    </row>
    <row r="48" spans="1:38" ht="16.5" outlineLevel="1">
      <c r="A48" s="135">
        <v>39</v>
      </c>
      <c r="B48" s="137" t="s">
        <v>273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>
        <v>60</v>
      </c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>
        <v>15</v>
      </c>
      <c r="AF48" s="59">
        <v>15</v>
      </c>
      <c r="AG48" s="59">
        <v>15</v>
      </c>
      <c r="AH48" s="59">
        <v>15</v>
      </c>
      <c r="AI48" s="130">
        <f t="shared" si="5"/>
        <v>60</v>
      </c>
      <c r="AL48" s="122" t="s">
        <v>273</v>
      </c>
    </row>
    <row r="49" spans="1:38" ht="33" outlineLevel="1">
      <c r="A49" s="135">
        <v>40</v>
      </c>
      <c r="B49" s="137" t="s">
        <v>274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>
        <v>25</v>
      </c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>
        <v>5</v>
      </c>
      <c r="AD49" s="59">
        <v>5</v>
      </c>
      <c r="AE49" s="59">
        <v>5</v>
      </c>
      <c r="AF49" s="59">
        <v>5</v>
      </c>
      <c r="AG49" s="59">
        <v>5</v>
      </c>
      <c r="AH49" s="59">
        <v>5</v>
      </c>
      <c r="AI49" s="130">
        <f t="shared" si="5"/>
        <v>25</v>
      </c>
      <c r="AL49" s="122" t="s">
        <v>274</v>
      </c>
    </row>
    <row r="50" spans="1:38" ht="16.5" outlineLevel="1">
      <c r="A50" s="135">
        <v>41</v>
      </c>
      <c r="B50" s="137" t="s">
        <v>275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>
        <v>48</v>
      </c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>
        <v>8</v>
      </c>
      <c r="AD50" s="59">
        <v>8</v>
      </c>
      <c r="AE50" s="59">
        <v>10</v>
      </c>
      <c r="AF50" s="59">
        <v>10</v>
      </c>
      <c r="AG50" s="59">
        <v>10</v>
      </c>
      <c r="AH50" s="59">
        <v>10</v>
      </c>
      <c r="AI50" s="130">
        <f t="shared" si="5"/>
        <v>48</v>
      </c>
      <c r="AL50" s="122" t="s">
        <v>275</v>
      </c>
    </row>
    <row r="51" spans="1:38" ht="33" outlineLevel="1">
      <c r="A51" s="135">
        <v>42</v>
      </c>
      <c r="B51" s="137" t="s">
        <v>276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80</v>
      </c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>
        <v>15</v>
      </c>
      <c r="AF51" s="59">
        <v>18</v>
      </c>
      <c r="AG51" s="59">
        <v>17</v>
      </c>
      <c r="AH51" s="59">
        <v>30</v>
      </c>
      <c r="AI51" s="130">
        <f t="shared" si="5"/>
        <v>80</v>
      </c>
      <c r="AL51" s="122" t="s">
        <v>276</v>
      </c>
    </row>
    <row r="52" spans="1:38" ht="16.5" outlineLevel="1">
      <c r="A52" s="135">
        <v>43</v>
      </c>
      <c r="B52" s="137" t="s">
        <v>277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>
        <v>270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>
        <v>30</v>
      </c>
      <c r="AF52" s="59">
        <v>40</v>
      </c>
      <c r="AG52" s="59">
        <v>100</v>
      </c>
      <c r="AH52" s="59">
        <v>100</v>
      </c>
      <c r="AI52" s="130">
        <f t="shared" si="5"/>
        <v>270</v>
      </c>
      <c r="AL52" s="122" t="s">
        <v>277</v>
      </c>
    </row>
    <row r="53" spans="1:38" ht="16.5" outlineLevel="1">
      <c r="A53" s="135">
        <v>44</v>
      </c>
      <c r="B53" s="137" t="s">
        <v>278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>
        <v>10</v>
      </c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>
        <v>2</v>
      </c>
      <c r="AD53" s="59">
        <v>2</v>
      </c>
      <c r="AE53" s="59">
        <v>2</v>
      </c>
      <c r="AF53" s="59">
        <v>2</v>
      </c>
      <c r="AG53" s="59">
        <v>2</v>
      </c>
      <c r="AH53" s="59">
        <v>2</v>
      </c>
      <c r="AI53" s="130">
        <f t="shared" si="5"/>
        <v>10</v>
      </c>
      <c r="AL53" s="122" t="s">
        <v>278</v>
      </c>
    </row>
    <row r="54" spans="1:38" ht="16.5" outlineLevel="1">
      <c r="A54" s="135">
        <v>45</v>
      </c>
      <c r="B54" s="137" t="s">
        <v>281</v>
      </c>
      <c r="C54" s="58"/>
      <c r="D54" s="58">
        <v>15</v>
      </c>
      <c r="E54" s="58">
        <v>15</v>
      </c>
      <c r="F54" s="58"/>
      <c r="G54" s="58"/>
      <c r="H54" s="59">
        <v>30</v>
      </c>
      <c r="I54" s="59"/>
      <c r="J54" s="59"/>
      <c r="K54" s="59"/>
      <c r="L54" s="59"/>
      <c r="M54" s="59"/>
      <c r="N54" s="59"/>
      <c r="O54" s="59">
        <v>200</v>
      </c>
      <c r="P54" s="59"/>
      <c r="Q54" s="59"/>
      <c r="R54" s="59"/>
      <c r="S54" s="59"/>
      <c r="T54" s="58"/>
      <c r="U54" s="58">
        <v>15</v>
      </c>
      <c r="V54" s="58">
        <v>15</v>
      </c>
      <c r="W54" s="58"/>
      <c r="X54" s="58"/>
      <c r="Y54" s="59">
        <v>30</v>
      </c>
      <c r="Z54" s="59"/>
      <c r="AA54" s="59"/>
      <c r="AB54" s="59"/>
      <c r="AC54" s="59">
        <v>80</v>
      </c>
      <c r="AD54" s="59">
        <v>80</v>
      </c>
      <c r="AE54" s="59">
        <v>80</v>
      </c>
      <c r="AF54" s="59">
        <v>40</v>
      </c>
      <c r="AG54" s="59"/>
      <c r="AH54" s="59"/>
      <c r="AI54" s="130">
        <f t="shared" si="5"/>
        <v>200</v>
      </c>
      <c r="AL54" s="122" t="s">
        <v>281</v>
      </c>
    </row>
    <row r="55" spans="1:38" ht="33" outlineLevel="1">
      <c r="A55" s="135">
        <v>46</v>
      </c>
      <c r="B55" s="137" t="s">
        <v>284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>
        <v>50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>
        <v>50</v>
      </c>
      <c r="AD55" s="59">
        <v>50</v>
      </c>
      <c r="AE55" s="59"/>
      <c r="AF55" s="59"/>
      <c r="AG55" s="59"/>
      <c r="AH55" s="59"/>
      <c r="AI55" s="130">
        <f t="shared" si="5"/>
        <v>50</v>
      </c>
      <c r="AL55" s="122" t="s">
        <v>284</v>
      </c>
    </row>
    <row r="56" spans="1:38" ht="33" outlineLevel="1">
      <c r="A56" s="135">
        <v>47</v>
      </c>
      <c r="B56" s="137" t="s">
        <v>285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>
        <v>30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>
        <v>30</v>
      </c>
      <c r="AG56" s="59"/>
      <c r="AH56" s="59"/>
      <c r="AI56" s="130">
        <f t="shared" si="5"/>
        <v>30</v>
      </c>
      <c r="AL56" s="122" t="s">
        <v>285</v>
      </c>
    </row>
    <row r="57" spans="1:38" ht="33" outlineLevel="1">
      <c r="A57" s="135">
        <v>48</v>
      </c>
      <c r="B57" s="137" t="s">
        <v>288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>
        <v>20</v>
      </c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>
        <v>20</v>
      </c>
      <c r="AF57" s="59"/>
      <c r="AG57" s="59"/>
      <c r="AH57" s="59"/>
      <c r="AI57" s="130">
        <f t="shared" si="5"/>
        <v>20</v>
      </c>
      <c r="AL57" s="122" t="s">
        <v>288</v>
      </c>
    </row>
    <row r="58" spans="1:38" ht="33" outlineLevel="1">
      <c r="A58" s="135">
        <v>49</v>
      </c>
      <c r="B58" s="137" t="s">
        <v>289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>
        <v>50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>
        <v>50</v>
      </c>
      <c r="AD58" s="59">
        <v>50</v>
      </c>
      <c r="AE58" s="59"/>
      <c r="AF58" s="59"/>
      <c r="AG58" s="59"/>
      <c r="AH58" s="59"/>
      <c r="AI58" s="130">
        <f t="shared" si="5"/>
        <v>50</v>
      </c>
      <c r="AL58" s="122" t="s">
        <v>289</v>
      </c>
    </row>
    <row r="59" spans="1:38" ht="16.5" outlineLevel="1">
      <c r="A59" s="135">
        <v>50</v>
      </c>
      <c r="B59" s="137" t="s">
        <v>290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>
        <v>140</v>
      </c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>
        <v>40</v>
      </c>
      <c r="AF59" s="59">
        <v>50</v>
      </c>
      <c r="AG59" s="59">
        <v>50</v>
      </c>
      <c r="AH59" s="59"/>
      <c r="AI59" s="130">
        <f t="shared" si="5"/>
        <v>140</v>
      </c>
      <c r="AL59" s="122" t="s">
        <v>290</v>
      </c>
    </row>
    <row r="60" spans="1:38" ht="33" outlineLevel="1">
      <c r="A60" s="135">
        <v>51</v>
      </c>
      <c r="B60" s="137" t="s">
        <v>295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>
        <v>30</v>
      </c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>
        <v>30</v>
      </c>
      <c r="AG60" s="59"/>
      <c r="AH60" s="59"/>
      <c r="AI60" s="130">
        <f t="shared" si="5"/>
        <v>30</v>
      </c>
      <c r="AL60" s="122" t="s">
        <v>295</v>
      </c>
    </row>
    <row r="61" spans="1:38" ht="33" outlineLevel="1">
      <c r="A61" s="135">
        <v>52</v>
      </c>
      <c r="B61" s="137" t="s">
        <v>296</v>
      </c>
      <c r="C61" s="58"/>
      <c r="D61" s="58"/>
      <c r="E61" s="58"/>
      <c r="F61" s="58">
        <v>125</v>
      </c>
      <c r="G61" s="58"/>
      <c r="H61" s="58">
        <v>125</v>
      </c>
      <c r="I61" s="59"/>
      <c r="J61" s="59"/>
      <c r="K61" s="59"/>
      <c r="L61" s="59"/>
      <c r="M61" s="59"/>
      <c r="N61" s="59"/>
      <c r="O61" s="59">
        <v>230</v>
      </c>
      <c r="P61" s="59"/>
      <c r="Q61" s="59"/>
      <c r="R61" s="59"/>
      <c r="S61" s="59"/>
      <c r="T61" s="58"/>
      <c r="U61" s="58"/>
      <c r="V61" s="58"/>
      <c r="W61" s="58">
        <v>125</v>
      </c>
      <c r="X61" s="58"/>
      <c r="Y61" s="58">
        <v>125</v>
      </c>
      <c r="Z61" s="59"/>
      <c r="AA61" s="59"/>
      <c r="AB61" s="59"/>
      <c r="AC61" s="59"/>
      <c r="AD61" s="59"/>
      <c r="AE61" s="59"/>
      <c r="AF61" s="59">
        <v>100</v>
      </c>
      <c r="AG61" s="59">
        <v>80</v>
      </c>
      <c r="AH61" s="59">
        <v>50</v>
      </c>
      <c r="AI61" s="130">
        <f t="shared" si="5"/>
        <v>230</v>
      </c>
      <c r="AL61" s="122" t="s">
        <v>296</v>
      </c>
    </row>
    <row r="62" spans="1:38" ht="33" outlineLevel="1">
      <c r="A62" s="135">
        <v>53</v>
      </c>
      <c r="B62" s="137" t="s">
        <v>298</v>
      </c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>
        <v>20</v>
      </c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>
        <v>20</v>
      </c>
      <c r="AD62" s="59">
        <v>20</v>
      </c>
      <c r="AE62" s="59"/>
      <c r="AF62" s="59"/>
      <c r="AG62" s="59"/>
      <c r="AH62" s="59"/>
      <c r="AI62" s="130">
        <f t="shared" si="5"/>
        <v>20</v>
      </c>
      <c r="AL62" s="122" t="s">
        <v>298</v>
      </c>
    </row>
    <row r="63" spans="1:38" ht="16.5">
      <c r="A63" s="135">
        <v>54</v>
      </c>
      <c r="B63" s="137" t="s">
        <v>299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>
        <v>64</v>
      </c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>
        <v>16</v>
      </c>
      <c r="AF63" s="59">
        <v>14</v>
      </c>
      <c r="AG63" s="59">
        <v>14</v>
      </c>
      <c r="AH63" s="59">
        <v>20</v>
      </c>
      <c r="AI63" s="130">
        <f t="shared" si="5"/>
        <v>64</v>
      </c>
      <c r="AL63" s="122" t="s">
        <v>299</v>
      </c>
    </row>
    <row r="64" spans="1:38" ht="33" outlineLevel="1">
      <c r="A64" s="135">
        <v>55</v>
      </c>
      <c r="B64" s="137" t="s">
        <v>301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>
        <v>50</v>
      </c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>
        <v>15</v>
      </c>
      <c r="AD64" s="59">
        <v>15</v>
      </c>
      <c r="AE64" s="59"/>
      <c r="AF64" s="59">
        <v>5</v>
      </c>
      <c r="AG64" s="59">
        <v>30</v>
      </c>
      <c r="AH64" s="59"/>
      <c r="AI64" s="130">
        <f t="shared" si="5"/>
        <v>50</v>
      </c>
      <c r="AL64" s="122" t="s">
        <v>301</v>
      </c>
    </row>
    <row r="65" spans="1:179" ht="33" outlineLevel="1">
      <c r="A65" s="135">
        <v>56</v>
      </c>
      <c r="B65" s="137" t="s">
        <v>302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>
        <v>3</v>
      </c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>
        <v>3</v>
      </c>
      <c r="AF65" s="59"/>
      <c r="AG65" s="59"/>
      <c r="AH65" s="59"/>
      <c r="AI65" s="130">
        <f t="shared" si="5"/>
        <v>3</v>
      </c>
      <c r="AL65" s="122" t="s">
        <v>302</v>
      </c>
    </row>
    <row r="66" spans="1:179" ht="33" outlineLevel="1">
      <c r="A66" s="135">
        <v>57</v>
      </c>
      <c r="B66" s="137" t="s">
        <v>303</v>
      </c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>
        <v>3</v>
      </c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>
        <v>3</v>
      </c>
      <c r="AD66" s="59">
        <v>3</v>
      </c>
      <c r="AE66" s="59"/>
      <c r="AF66" s="59"/>
      <c r="AG66" s="59"/>
      <c r="AH66" s="59"/>
      <c r="AI66" s="130">
        <f t="shared" si="5"/>
        <v>3</v>
      </c>
      <c r="AL66" s="122" t="s">
        <v>303</v>
      </c>
    </row>
    <row r="67" spans="1:179" ht="16.5">
      <c r="A67" s="135">
        <v>58</v>
      </c>
      <c r="B67" s="137" t="s">
        <v>311</v>
      </c>
      <c r="C67" s="58"/>
      <c r="D67" s="58"/>
      <c r="E67" s="58"/>
      <c r="F67" s="58"/>
      <c r="G67" s="58"/>
      <c r="H67" s="58"/>
      <c r="I67" s="59"/>
      <c r="J67" s="59"/>
      <c r="K67" s="59"/>
      <c r="L67" s="59"/>
      <c r="M67" s="59"/>
      <c r="N67" s="59"/>
      <c r="O67" s="59">
        <v>265</v>
      </c>
      <c r="P67" s="59"/>
      <c r="Q67" s="59"/>
      <c r="R67" s="59"/>
      <c r="S67" s="59"/>
      <c r="T67" s="58"/>
      <c r="U67" s="58"/>
      <c r="V67" s="58"/>
      <c r="W67" s="58"/>
      <c r="X67" s="58"/>
      <c r="Y67" s="58"/>
      <c r="Z67" s="59"/>
      <c r="AA67" s="59"/>
      <c r="AB67" s="59"/>
      <c r="AC67" s="59"/>
      <c r="AD67" s="59"/>
      <c r="AE67" s="59"/>
      <c r="AF67" s="59"/>
      <c r="AG67" s="59"/>
      <c r="AH67" s="59">
        <v>265</v>
      </c>
      <c r="AI67" s="130">
        <f t="shared" si="5"/>
        <v>265</v>
      </c>
      <c r="AL67" s="122" t="s">
        <v>311</v>
      </c>
    </row>
    <row r="68" spans="1:179" ht="33">
      <c r="A68" s="135">
        <v>59</v>
      </c>
      <c r="B68" s="137" t="s">
        <v>313</v>
      </c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>
        <v>60</v>
      </c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>
        <v>30</v>
      </c>
      <c r="AH68" s="59">
        <v>30</v>
      </c>
      <c r="AI68" s="130">
        <f t="shared" si="5"/>
        <v>60</v>
      </c>
      <c r="AL68" s="122" t="s">
        <v>313</v>
      </c>
    </row>
    <row r="69" spans="1:179" ht="33">
      <c r="A69" s="135">
        <v>60</v>
      </c>
      <c r="B69" s="137" t="s">
        <v>707</v>
      </c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>
        <v>40</v>
      </c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>
        <v>8</v>
      </c>
      <c r="AD69" s="59">
        <v>8</v>
      </c>
      <c r="AE69" s="59">
        <v>8</v>
      </c>
      <c r="AF69" s="59">
        <v>8</v>
      </c>
      <c r="AG69" s="59">
        <v>8</v>
      </c>
      <c r="AH69" s="59">
        <v>8</v>
      </c>
      <c r="AI69" s="130">
        <f t="shared" si="5"/>
        <v>40</v>
      </c>
      <c r="AL69" s="122" t="s">
        <v>707</v>
      </c>
    </row>
    <row r="70" spans="1:179" ht="33">
      <c r="A70" s="135">
        <v>61</v>
      </c>
      <c r="B70" s="32" t="s">
        <v>605</v>
      </c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>
        <v>24</v>
      </c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>
        <v>8</v>
      </c>
      <c r="AD70" s="59">
        <v>8</v>
      </c>
      <c r="AE70" s="59">
        <v>8</v>
      </c>
      <c r="AF70" s="59">
        <v>8</v>
      </c>
      <c r="AG70" s="59"/>
      <c r="AH70" s="59"/>
      <c r="AI70" s="130">
        <f t="shared" si="5"/>
        <v>24</v>
      </c>
      <c r="AK70" s="4"/>
      <c r="AL70" s="116" t="s">
        <v>605</v>
      </c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</row>
    <row r="71" spans="1:179" ht="33">
      <c r="A71" s="135">
        <v>62</v>
      </c>
      <c r="B71" s="55" t="s">
        <v>142</v>
      </c>
      <c r="C71" s="58">
        <v>10</v>
      </c>
      <c r="D71" s="58"/>
      <c r="E71" s="58"/>
      <c r="F71" s="58"/>
      <c r="G71" s="58"/>
      <c r="H71" s="58">
        <f>SUM(C71:G71)</f>
        <v>10</v>
      </c>
      <c r="I71" s="59"/>
      <c r="J71" s="59"/>
      <c r="K71" s="59"/>
      <c r="L71" s="59"/>
      <c r="M71" s="59"/>
      <c r="N71" s="59"/>
      <c r="O71" s="58">
        <v>41.3</v>
      </c>
      <c r="P71" s="59"/>
      <c r="Q71" s="59"/>
      <c r="R71" s="59"/>
      <c r="S71" s="58">
        <v>10</v>
      </c>
      <c r="T71" s="58">
        <v>10</v>
      </c>
      <c r="U71" s="58"/>
      <c r="V71" s="58"/>
      <c r="W71" s="58"/>
      <c r="X71" s="58"/>
      <c r="Y71" s="58">
        <f>SUM(T71:X71)</f>
        <v>10</v>
      </c>
      <c r="Z71" s="59"/>
      <c r="AA71" s="59"/>
      <c r="AB71" s="59"/>
      <c r="AC71" s="58">
        <f>35*1.18</f>
        <v>41.3</v>
      </c>
      <c r="AD71" s="58">
        <f>35*1.18</f>
        <v>41.3</v>
      </c>
      <c r="AE71" s="58"/>
      <c r="AF71" s="58"/>
      <c r="AG71" s="58"/>
      <c r="AH71" s="58"/>
      <c r="AI71" s="60">
        <f t="shared" ref="AI71:AI112" si="6">SUM(AD71:AH71)</f>
        <v>41.3</v>
      </c>
      <c r="AK71" s="61"/>
      <c r="AL71" s="127" t="s">
        <v>142</v>
      </c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</row>
    <row r="72" spans="1:179" ht="33">
      <c r="A72" s="135">
        <v>63</v>
      </c>
      <c r="B72" s="55" t="s">
        <v>144</v>
      </c>
      <c r="C72" s="58"/>
      <c r="D72" s="58"/>
      <c r="E72" s="58"/>
      <c r="F72" s="58"/>
      <c r="G72" s="58">
        <v>32</v>
      </c>
      <c r="H72" s="58">
        <f>SUM(C72:G72)</f>
        <v>32</v>
      </c>
      <c r="I72" s="59"/>
      <c r="J72" s="59"/>
      <c r="K72" s="59"/>
      <c r="L72" s="59"/>
      <c r="M72" s="59"/>
      <c r="N72" s="59"/>
      <c r="O72" s="58">
        <v>147.5</v>
      </c>
      <c r="P72" s="59"/>
      <c r="Q72" s="59"/>
      <c r="R72" s="59"/>
      <c r="S72" s="58"/>
      <c r="T72" s="58"/>
      <c r="U72" s="58"/>
      <c r="V72" s="58"/>
      <c r="W72" s="58"/>
      <c r="X72" s="58">
        <v>32</v>
      </c>
      <c r="Y72" s="58">
        <f>SUM(T72:X72)</f>
        <v>32</v>
      </c>
      <c r="Z72" s="59"/>
      <c r="AA72" s="59"/>
      <c r="AB72" s="59"/>
      <c r="AC72" s="58"/>
      <c r="AD72" s="58"/>
      <c r="AE72" s="58"/>
      <c r="AF72" s="58"/>
      <c r="AG72" s="58"/>
      <c r="AH72" s="58">
        <f>60*1.18+50*1.18+10*1.18</f>
        <v>141.60000000000002</v>
      </c>
      <c r="AI72" s="60">
        <f t="shared" si="6"/>
        <v>141.60000000000002</v>
      </c>
      <c r="AK72" s="4"/>
      <c r="AL72" s="127" t="s">
        <v>144</v>
      </c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</row>
    <row r="73" spans="1:179" ht="82.5">
      <c r="A73" s="135">
        <v>64</v>
      </c>
      <c r="B73" s="55" t="s">
        <v>146</v>
      </c>
      <c r="C73" s="58"/>
      <c r="D73" s="58"/>
      <c r="E73" s="58"/>
      <c r="F73" s="58"/>
      <c r="G73" s="58">
        <v>125</v>
      </c>
      <c r="H73" s="58">
        <f>SUM(C73:G73)</f>
        <v>125</v>
      </c>
      <c r="I73" s="59"/>
      <c r="J73" s="59"/>
      <c r="K73" s="59"/>
      <c r="L73" s="59"/>
      <c r="M73" s="59"/>
      <c r="N73" s="59"/>
      <c r="O73" s="58">
        <v>398.84</v>
      </c>
      <c r="P73" s="59"/>
      <c r="Q73" s="59"/>
      <c r="R73" s="59"/>
      <c r="S73" s="58"/>
      <c r="T73" s="58"/>
      <c r="U73" s="58"/>
      <c r="V73" s="58"/>
      <c r="W73" s="58"/>
      <c r="X73" s="58">
        <v>125</v>
      </c>
      <c r="Y73" s="58">
        <f>SUM(T73:X73)</f>
        <v>125</v>
      </c>
      <c r="Z73" s="59"/>
      <c r="AA73" s="59"/>
      <c r="AB73" s="59"/>
      <c r="AC73" s="58"/>
      <c r="AD73" s="58"/>
      <c r="AE73" s="58"/>
      <c r="AF73" s="58"/>
      <c r="AG73" s="58"/>
      <c r="AH73" s="58">
        <f>170*1.18+153*1.18+15*1.18</f>
        <v>398.84</v>
      </c>
      <c r="AI73" s="60">
        <f t="shared" si="6"/>
        <v>398.84</v>
      </c>
      <c r="AK73" s="4"/>
      <c r="AL73" s="127" t="s">
        <v>146</v>
      </c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</row>
    <row r="74" spans="1:179" ht="49.5">
      <c r="A74" s="135">
        <v>65</v>
      </c>
      <c r="B74" s="55" t="s">
        <v>148</v>
      </c>
      <c r="C74" s="58"/>
      <c r="D74" s="58">
        <v>40</v>
      </c>
      <c r="E74" s="58">
        <v>40</v>
      </c>
      <c r="F74" s="58"/>
      <c r="G74" s="58"/>
      <c r="H74" s="58">
        <f>SUM(C74:G74)</f>
        <v>80</v>
      </c>
      <c r="I74" s="59"/>
      <c r="J74" s="59"/>
      <c r="K74" s="59"/>
      <c r="L74" s="59"/>
      <c r="M74" s="59"/>
      <c r="N74" s="59"/>
      <c r="O74" s="58">
        <v>171.1</v>
      </c>
      <c r="P74" s="59"/>
      <c r="Q74" s="59"/>
      <c r="R74" s="59"/>
      <c r="S74" s="58"/>
      <c r="T74" s="58"/>
      <c r="U74" s="58">
        <v>40</v>
      </c>
      <c r="V74" s="58">
        <v>40</v>
      </c>
      <c r="W74" s="58"/>
      <c r="X74" s="58"/>
      <c r="Y74" s="58">
        <f>SUM(T74:X74)</f>
        <v>80</v>
      </c>
      <c r="Z74" s="59"/>
      <c r="AA74" s="59"/>
      <c r="AB74" s="59"/>
      <c r="AC74" s="58"/>
      <c r="AD74" s="58"/>
      <c r="AE74" s="58">
        <f>65*1.18+10*1.18</f>
        <v>88.5</v>
      </c>
      <c r="AF74" s="58">
        <f>70*1.18</f>
        <v>82.6</v>
      </c>
      <c r="AG74" s="58"/>
      <c r="AH74" s="58"/>
      <c r="AI74" s="60">
        <f t="shared" si="6"/>
        <v>171.1</v>
      </c>
      <c r="AL74" s="127" t="s">
        <v>148</v>
      </c>
    </row>
    <row r="75" spans="1:179" ht="49.5">
      <c r="A75" s="135">
        <v>66</v>
      </c>
      <c r="B75" s="55" t="s">
        <v>151</v>
      </c>
      <c r="C75" s="58"/>
      <c r="D75" s="58"/>
      <c r="E75" s="58"/>
      <c r="F75" s="58"/>
      <c r="G75" s="58"/>
      <c r="H75" s="58"/>
      <c r="I75" s="59"/>
      <c r="J75" s="59"/>
      <c r="K75" s="59"/>
      <c r="L75" s="59"/>
      <c r="M75" s="59"/>
      <c r="N75" s="59"/>
      <c r="O75" s="58">
        <v>1.4159999999999999</v>
      </c>
      <c r="P75" s="59"/>
      <c r="Q75" s="59"/>
      <c r="R75" s="59"/>
      <c r="S75" s="58"/>
      <c r="T75" s="58"/>
      <c r="U75" s="58"/>
      <c r="V75" s="58"/>
      <c r="W75" s="58"/>
      <c r="X75" s="58"/>
      <c r="Y75" s="58"/>
      <c r="Z75" s="59"/>
      <c r="AA75" s="59"/>
      <c r="AB75" s="59"/>
      <c r="AC75" s="58">
        <f>0.6*1.18</f>
        <v>0.70799999999999996</v>
      </c>
      <c r="AD75" s="58">
        <f>0.6*1.18</f>
        <v>0.70799999999999996</v>
      </c>
      <c r="AE75" s="58">
        <f>0.6*1.18</f>
        <v>0.70799999999999996</v>
      </c>
      <c r="AF75" s="58"/>
      <c r="AG75" s="58"/>
      <c r="AH75" s="58"/>
      <c r="AI75" s="60">
        <f t="shared" si="6"/>
        <v>1.4159999999999999</v>
      </c>
      <c r="AL75" s="127" t="s">
        <v>151</v>
      </c>
    </row>
    <row r="76" spans="1:179" ht="49.5">
      <c r="A76" s="135">
        <v>67</v>
      </c>
      <c r="B76" s="55" t="s">
        <v>152</v>
      </c>
      <c r="C76" s="58"/>
      <c r="D76" s="58"/>
      <c r="E76" s="58"/>
      <c r="F76" s="58"/>
      <c r="G76" s="58"/>
      <c r="H76" s="58"/>
      <c r="I76" s="59"/>
      <c r="J76" s="59"/>
      <c r="K76" s="59"/>
      <c r="L76" s="59"/>
      <c r="M76" s="59"/>
      <c r="N76" s="59"/>
      <c r="O76" s="58">
        <v>2.36</v>
      </c>
      <c r="P76" s="59"/>
      <c r="Q76" s="59"/>
      <c r="R76" s="59"/>
      <c r="S76" s="58"/>
      <c r="T76" s="58"/>
      <c r="U76" s="58"/>
      <c r="V76" s="58"/>
      <c r="W76" s="58"/>
      <c r="X76" s="58"/>
      <c r="Y76" s="58"/>
      <c r="Z76" s="59"/>
      <c r="AA76" s="59"/>
      <c r="AB76" s="59"/>
      <c r="AC76" s="58">
        <f t="shared" ref="AC76:AH76" si="7">0.4*1.18</f>
        <v>0.47199999999999998</v>
      </c>
      <c r="AD76" s="58">
        <f t="shared" si="7"/>
        <v>0.47199999999999998</v>
      </c>
      <c r="AE76" s="58">
        <f t="shared" si="7"/>
        <v>0.47199999999999998</v>
      </c>
      <c r="AF76" s="58">
        <f t="shared" si="7"/>
        <v>0.47199999999999998</v>
      </c>
      <c r="AG76" s="58">
        <f t="shared" si="7"/>
        <v>0.47199999999999998</v>
      </c>
      <c r="AH76" s="58">
        <f t="shared" si="7"/>
        <v>0.47199999999999998</v>
      </c>
      <c r="AI76" s="60">
        <f t="shared" si="6"/>
        <v>2.36</v>
      </c>
      <c r="AL76" s="127" t="s">
        <v>152</v>
      </c>
    </row>
    <row r="77" spans="1:179" ht="33">
      <c r="A77" s="135">
        <v>68</v>
      </c>
      <c r="B77" s="55" t="s">
        <v>153</v>
      </c>
      <c r="C77" s="58"/>
      <c r="D77" s="58"/>
      <c r="E77" s="58"/>
      <c r="F77" s="58"/>
      <c r="G77" s="58"/>
      <c r="H77" s="58"/>
      <c r="I77" s="59"/>
      <c r="J77" s="59"/>
      <c r="K77" s="59"/>
      <c r="L77" s="59"/>
      <c r="M77" s="59"/>
      <c r="N77" s="59"/>
      <c r="O77" s="58">
        <v>46.491999999999997</v>
      </c>
      <c r="P77" s="59"/>
      <c r="Q77" s="59"/>
      <c r="R77" s="59"/>
      <c r="S77" s="58"/>
      <c r="T77" s="58"/>
      <c r="U77" s="58"/>
      <c r="V77" s="58"/>
      <c r="W77" s="58"/>
      <c r="X77" s="58"/>
      <c r="Y77" s="58"/>
      <c r="Z77" s="59"/>
      <c r="AA77" s="59"/>
      <c r="AB77" s="59"/>
      <c r="AC77" s="58"/>
      <c r="AD77" s="58"/>
      <c r="AE77" s="58">
        <f>18.8*1.18</f>
        <v>22.184000000000001</v>
      </c>
      <c r="AF77" s="58">
        <f>20.6*1.18</f>
        <v>24.308</v>
      </c>
      <c r="AG77" s="58"/>
      <c r="AH77" s="58"/>
      <c r="AI77" s="60">
        <f t="shared" si="6"/>
        <v>46.492000000000004</v>
      </c>
      <c r="AL77" s="127" t="s">
        <v>153</v>
      </c>
    </row>
    <row r="78" spans="1:179" ht="82.5">
      <c r="A78" s="135">
        <v>69</v>
      </c>
      <c r="B78" s="55" t="s">
        <v>156</v>
      </c>
      <c r="C78" s="58"/>
      <c r="D78" s="58"/>
      <c r="E78" s="58"/>
      <c r="F78" s="58"/>
      <c r="G78" s="58"/>
      <c r="H78" s="58"/>
      <c r="I78" s="59"/>
      <c r="J78" s="59"/>
      <c r="K78" s="59"/>
      <c r="L78" s="59"/>
      <c r="M78" s="59"/>
      <c r="N78" s="59"/>
      <c r="O78" s="58">
        <v>32.449999999999996</v>
      </c>
      <c r="P78" s="59"/>
      <c r="Q78" s="59"/>
      <c r="R78" s="59"/>
      <c r="S78" s="58"/>
      <c r="T78" s="58"/>
      <c r="U78" s="58"/>
      <c r="V78" s="58"/>
      <c r="W78" s="58"/>
      <c r="X78" s="58"/>
      <c r="Y78" s="58"/>
      <c r="Z78" s="59"/>
      <c r="AA78" s="59"/>
      <c r="AB78" s="59"/>
      <c r="AC78" s="58"/>
      <c r="AD78" s="58"/>
      <c r="AE78" s="58"/>
      <c r="AF78" s="58"/>
      <c r="AG78" s="58">
        <f>25*1.18+2.5*1.18</f>
        <v>32.450000000000003</v>
      </c>
      <c r="AH78" s="58"/>
      <c r="AI78" s="60">
        <f t="shared" si="6"/>
        <v>32.450000000000003</v>
      </c>
      <c r="AL78" s="127" t="s">
        <v>156</v>
      </c>
    </row>
    <row r="79" spans="1:179" ht="66">
      <c r="A79" s="135">
        <v>70</v>
      </c>
      <c r="B79" s="55" t="s">
        <v>157</v>
      </c>
      <c r="C79" s="58"/>
      <c r="D79" s="58"/>
      <c r="E79" s="58"/>
      <c r="F79" s="58"/>
      <c r="G79" s="58"/>
      <c r="H79" s="58"/>
      <c r="I79" s="59"/>
      <c r="J79" s="59"/>
      <c r="K79" s="59"/>
      <c r="L79" s="59"/>
      <c r="M79" s="59"/>
      <c r="N79" s="59"/>
      <c r="O79" s="58">
        <v>33.158000000000001</v>
      </c>
      <c r="P79" s="59"/>
      <c r="Q79" s="59"/>
      <c r="R79" s="59"/>
      <c r="S79" s="58"/>
      <c r="T79" s="58"/>
      <c r="U79" s="58"/>
      <c r="V79" s="58"/>
      <c r="W79" s="58"/>
      <c r="X79" s="58"/>
      <c r="Y79" s="58"/>
      <c r="Z79" s="59"/>
      <c r="AA79" s="59"/>
      <c r="AB79" s="59"/>
      <c r="AC79" s="58"/>
      <c r="AD79" s="58"/>
      <c r="AE79" s="58"/>
      <c r="AF79" s="58"/>
      <c r="AG79" s="58"/>
      <c r="AH79" s="58">
        <f>25.6*1.18+2.5*1.18</f>
        <v>33.158000000000001</v>
      </c>
      <c r="AI79" s="60">
        <f t="shared" si="6"/>
        <v>33.158000000000001</v>
      </c>
      <c r="AL79" s="127" t="s">
        <v>157</v>
      </c>
    </row>
    <row r="80" spans="1:179" ht="82.5">
      <c r="A80" s="135">
        <v>71</v>
      </c>
      <c r="B80" s="55" t="s">
        <v>159</v>
      </c>
      <c r="C80" s="58"/>
      <c r="D80" s="58"/>
      <c r="E80" s="58"/>
      <c r="F80" s="58"/>
      <c r="G80" s="58"/>
      <c r="H80" s="58"/>
      <c r="I80" s="59"/>
      <c r="J80" s="59"/>
      <c r="K80" s="59"/>
      <c r="L80" s="59"/>
      <c r="M80" s="59"/>
      <c r="N80" s="59"/>
      <c r="O80" s="58">
        <v>18.998000000000001</v>
      </c>
      <c r="P80" s="59"/>
      <c r="Q80" s="59"/>
      <c r="R80" s="59"/>
      <c r="S80" s="58"/>
      <c r="T80" s="58"/>
      <c r="U80" s="58"/>
      <c r="V80" s="58"/>
      <c r="W80" s="58"/>
      <c r="X80" s="58"/>
      <c r="Y80" s="58"/>
      <c r="Z80" s="59"/>
      <c r="AA80" s="59"/>
      <c r="AB80" s="59"/>
      <c r="AC80" s="58"/>
      <c r="AD80" s="58"/>
      <c r="AE80" s="58"/>
      <c r="AF80" s="58"/>
      <c r="AG80" s="58">
        <f>15.5*1.18+0.6*1.18</f>
        <v>18.997999999999998</v>
      </c>
      <c r="AH80" s="58"/>
      <c r="AI80" s="60">
        <f t="shared" si="6"/>
        <v>18.997999999999998</v>
      </c>
      <c r="AL80" s="127" t="s">
        <v>159</v>
      </c>
    </row>
    <row r="81" spans="1:38" ht="82.5">
      <c r="A81" s="135">
        <v>72</v>
      </c>
      <c r="B81" s="55" t="s">
        <v>160</v>
      </c>
      <c r="C81" s="58"/>
      <c r="D81" s="58"/>
      <c r="E81" s="58"/>
      <c r="F81" s="58"/>
      <c r="G81" s="58"/>
      <c r="H81" s="58"/>
      <c r="I81" s="59"/>
      <c r="J81" s="59"/>
      <c r="K81" s="59"/>
      <c r="L81" s="59"/>
      <c r="M81" s="59"/>
      <c r="N81" s="59"/>
      <c r="O81" s="58">
        <v>20.059999999999999</v>
      </c>
      <c r="P81" s="59"/>
      <c r="Q81" s="59"/>
      <c r="R81" s="59"/>
      <c r="S81" s="58"/>
      <c r="T81" s="58"/>
      <c r="U81" s="58"/>
      <c r="V81" s="58"/>
      <c r="W81" s="58"/>
      <c r="X81" s="58"/>
      <c r="Y81" s="58"/>
      <c r="Z81" s="59"/>
      <c r="AA81" s="59"/>
      <c r="AB81" s="59"/>
      <c r="AC81" s="58"/>
      <c r="AD81" s="58"/>
      <c r="AE81" s="58"/>
      <c r="AF81" s="58">
        <f>15.5*1.18+1.5*1.18</f>
        <v>20.059999999999999</v>
      </c>
      <c r="AG81" s="58"/>
      <c r="AH81" s="58"/>
      <c r="AI81" s="60">
        <f t="shared" si="6"/>
        <v>20.059999999999999</v>
      </c>
      <c r="AL81" s="127" t="s">
        <v>160</v>
      </c>
    </row>
    <row r="82" spans="1:38" ht="82.5">
      <c r="A82" s="135">
        <v>73</v>
      </c>
      <c r="B82" s="55" t="s">
        <v>161</v>
      </c>
      <c r="C82" s="58"/>
      <c r="D82" s="58"/>
      <c r="E82" s="58"/>
      <c r="F82" s="58"/>
      <c r="G82" s="58"/>
      <c r="H82" s="58"/>
      <c r="I82" s="59"/>
      <c r="J82" s="59"/>
      <c r="K82" s="59"/>
      <c r="L82" s="59"/>
      <c r="M82" s="59"/>
      <c r="N82" s="59"/>
      <c r="O82" s="58">
        <v>12.625999999999998</v>
      </c>
      <c r="P82" s="59"/>
      <c r="Q82" s="59"/>
      <c r="R82" s="59"/>
      <c r="S82" s="58"/>
      <c r="T82" s="58"/>
      <c r="U82" s="58"/>
      <c r="V82" s="58"/>
      <c r="W82" s="58"/>
      <c r="X82" s="58"/>
      <c r="Y82" s="58"/>
      <c r="Z82" s="59"/>
      <c r="AA82" s="59"/>
      <c r="AB82" s="59"/>
      <c r="AC82" s="58"/>
      <c r="AD82" s="58"/>
      <c r="AE82" s="58"/>
      <c r="AF82" s="58"/>
      <c r="AG82" s="58">
        <f>9.8*1.18+0.9*1.18</f>
        <v>12.625999999999999</v>
      </c>
      <c r="AH82" s="58"/>
      <c r="AI82" s="60">
        <f t="shared" si="6"/>
        <v>12.625999999999999</v>
      </c>
      <c r="AL82" s="127" t="s">
        <v>161</v>
      </c>
    </row>
    <row r="83" spans="1:38" ht="49.5">
      <c r="A83" s="135">
        <v>74</v>
      </c>
      <c r="B83" s="55" t="s">
        <v>162</v>
      </c>
      <c r="C83" s="58"/>
      <c r="D83" s="58"/>
      <c r="E83" s="58"/>
      <c r="F83" s="58"/>
      <c r="G83" s="58"/>
      <c r="H83" s="58"/>
      <c r="I83" s="59"/>
      <c r="J83" s="59"/>
      <c r="K83" s="59"/>
      <c r="L83" s="59"/>
      <c r="M83" s="59"/>
      <c r="N83" s="59"/>
      <c r="O83" s="58">
        <v>1.6519999999999999</v>
      </c>
      <c r="P83" s="59"/>
      <c r="Q83" s="59"/>
      <c r="R83" s="59"/>
      <c r="S83" s="58"/>
      <c r="T83" s="58"/>
      <c r="U83" s="58"/>
      <c r="V83" s="58"/>
      <c r="W83" s="58"/>
      <c r="X83" s="58"/>
      <c r="Y83" s="58"/>
      <c r="Z83" s="59"/>
      <c r="AA83" s="59"/>
      <c r="AB83" s="59"/>
      <c r="AC83" s="58"/>
      <c r="AD83" s="58"/>
      <c r="AE83" s="58"/>
      <c r="AF83" s="58">
        <f>1.4*1.18</f>
        <v>1.6519999999999999</v>
      </c>
      <c r="AG83" s="58"/>
      <c r="AH83" s="58"/>
      <c r="AI83" s="60">
        <f t="shared" si="6"/>
        <v>1.6519999999999999</v>
      </c>
      <c r="AL83" s="127" t="s">
        <v>162</v>
      </c>
    </row>
    <row r="84" spans="1:38" ht="33">
      <c r="A84" s="135">
        <v>75</v>
      </c>
      <c r="B84" s="55" t="s">
        <v>163</v>
      </c>
      <c r="C84" s="58"/>
      <c r="D84" s="58"/>
      <c r="E84" s="58"/>
      <c r="F84" s="58"/>
      <c r="G84" s="58"/>
      <c r="H84" s="58"/>
      <c r="I84" s="59"/>
      <c r="J84" s="59"/>
      <c r="K84" s="59"/>
      <c r="L84" s="59"/>
      <c r="M84" s="59"/>
      <c r="N84" s="59"/>
      <c r="O84" s="58">
        <v>2.36</v>
      </c>
      <c r="P84" s="59"/>
      <c r="Q84" s="59"/>
      <c r="R84" s="59"/>
      <c r="S84" s="58"/>
      <c r="T84" s="58"/>
      <c r="U84" s="58"/>
      <c r="V84" s="58"/>
      <c r="W84" s="58"/>
      <c r="X84" s="58"/>
      <c r="Y84" s="58"/>
      <c r="Z84" s="59"/>
      <c r="AA84" s="59"/>
      <c r="AB84" s="59"/>
      <c r="AC84" s="58"/>
      <c r="AD84" s="58"/>
      <c r="AE84" s="58"/>
      <c r="AF84" s="58"/>
      <c r="AG84" s="58">
        <f>2*1.18</f>
        <v>2.36</v>
      </c>
      <c r="AH84" s="58"/>
      <c r="AI84" s="60">
        <f t="shared" si="6"/>
        <v>2.36</v>
      </c>
      <c r="AL84" s="127" t="s">
        <v>163</v>
      </c>
    </row>
    <row r="85" spans="1:38" ht="33">
      <c r="A85" s="135">
        <v>76</v>
      </c>
      <c r="B85" s="55" t="s">
        <v>164</v>
      </c>
      <c r="C85" s="58"/>
      <c r="D85" s="58"/>
      <c r="E85" s="58"/>
      <c r="F85" s="58"/>
      <c r="G85" s="58"/>
      <c r="H85" s="58"/>
      <c r="I85" s="59"/>
      <c r="J85" s="59"/>
      <c r="K85" s="59"/>
      <c r="L85" s="59"/>
      <c r="M85" s="59"/>
      <c r="N85" s="59"/>
      <c r="O85" s="58">
        <v>36.461999999999996</v>
      </c>
      <c r="P85" s="59"/>
      <c r="Q85" s="59"/>
      <c r="R85" s="59"/>
      <c r="S85" s="58"/>
      <c r="T85" s="58"/>
      <c r="U85" s="58"/>
      <c r="V85" s="58"/>
      <c r="W85" s="58"/>
      <c r="X85" s="58"/>
      <c r="Y85" s="58"/>
      <c r="Z85" s="59"/>
      <c r="AA85" s="59"/>
      <c r="AB85" s="59"/>
      <c r="AC85" s="58"/>
      <c r="AD85" s="58"/>
      <c r="AE85" s="58"/>
      <c r="AF85" s="58"/>
      <c r="AG85" s="58">
        <f>10*1.18+0.9*1.18</f>
        <v>12.861999999999998</v>
      </c>
      <c r="AH85" s="58">
        <f>20*1.18</f>
        <v>23.599999999999998</v>
      </c>
      <c r="AI85" s="60">
        <f t="shared" si="6"/>
        <v>36.461999999999996</v>
      </c>
      <c r="AL85" s="127" t="s">
        <v>164</v>
      </c>
    </row>
    <row r="86" spans="1:38" ht="49.5">
      <c r="A86" s="135">
        <v>77</v>
      </c>
      <c r="B86" s="55" t="s">
        <v>165</v>
      </c>
      <c r="C86" s="58"/>
      <c r="D86" s="58"/>
      <c r="E86" s="58"/>
      <c r="F86" s="58"/>
      <c r="G86" s="58"/>
      <c r="H86" s="58"/>
      <c r="I86" s="59"/>
      <c r="J86" s="59"/>
      <c r="K86" s="59"/>
      <c r="L86" s="59"/>
      <c r="M86" s="59"/>
      <c r="N86" s="59"/>
      <c r="O86" s="58">
        <v>4.8379999999999992</v>
      </c>
      <c r="P86" s="59"/>
      <c r="Q86" s="59"/>
      <c r="R86" s="59"/>
      <c r="S86" s="58"/>
      <c r="T86" s="58"/>
      <c r="U86" s="58"/>
      <c r="V86" s="58"/>
      <c r="W86" s="58"/>
      <c r="X86" s="58"/>
      <c r="Y86" s="58"/>
      <c r="Z86" s="59"/>
      <c r="AA86" s="59"/>
      <c r="AB86" s="59"/>
      <c r="AC86" s="58"/>
      <c r="AD86" s="58"/>
      <c r="AE86" s="58"/>
      <c r="AF86" s="58">
        <f>4.1*1.18</f>
        <v>4.8379999999999992</v>
      </c>
      <c r="AG86" s="58"/>
      <c r="AH86" s="58"/>
      <c r="AI86" s="60">
        <f t="shared" si="6"/>
        <v>4.8379999999999992</v>
      </c>
      <c r="AL86" s="127" t="s">
        <v>165</v>
      </c>
    </row>
    <row r="87" spans="1:38" ht="33">
      <c r="A87" s="135">
        <v>78</v>
      </c>
      <c r="B87" s="54" t="s">
        <v>636</v>
      </c>
      <c r="C87" s="58"/>
      <c r="D87" s="58"/>
      <c r="E87" s="58"/>
      <c r="F87" s="58"/>
      <c r="G87" s="58"/>
      <c r="H87" s="58"/>
      <c r="I87" s="59"/>
      <c r="J87" s="59"/>
      <c r="K87" s="59"/>
      <c r="L87" s="59"/>
      <c r="M87" s="59"/>
      <c r="N87" s="59"/>
      <c r="O87" s="58">
        <v>0.47199999999999998</v>
      </c>
      <c r="P87" s="59"/>
      <c r="Q87" s="59"/>
      <c r="R87" s="59"/>
      <c r="S87" s="58"/>
      <c r="T87" s="58"/>
      <c r="U87" s="58"/>
      <c r="V87" s="58"/>
      <c r="W87" s="58"/>
      <c r="X87" s="58"/>
      <c r="Y87" s="58"/>
      <c r="Z87" s="59"/>
      <c r="AA87" s="59"/>
      <c r="AB87" s="59"/>
      <c r="AC87" s="58"/>
      <c r="AD87" s="58"/>
      <c r="AE87" s="58"/>
      <c r="AF87" s="58">
        <f>0.4*1.18</f>
        <v>0.47199999999999998</v>
      </c>
      <c r="AG87" s="58"/>
      <c r="AH87" s="58"/>
      <c r="AI87" s="60">
        <f t="shared" si="6"/>
        <v>0.47199999999999998</v>
      </c>
      <c r="AL87" s="119" t="s">
        <v>636</v>
      </c>
    </row>
    <row r="88" spans="1:38" ht="66">
      <c r="A88" s="135">
        <v>79</v>
      </c>
      <c r="B88" s="55" t="s">
        <v>200</v>
      </c>
      <c r="C88" s="58"/>
      <c r="D88" s="58"/>
      <c r="E88" s="58"/>
      <c r="F88" s="58"/>
      <c r="G88" s="58"/>
      <c r="H88" s="58"/>
      <c r="I88" s="59"/>
      <c r="J88" s="59"/>
      <c r="K88" s="59"/>
      <c r="L88" s="59"/>
      <c r="M88" s="59"/>
      <c r="N88" s="59"/>
      <c r="O88" s="58">
        <v>8.3779999999999983</v>
      </c>
      <c r="P88" s="59"/>
      <c r="Q88" s="59"/>
      <c r="R88" s="59"/>
      <c r="S88" s="58"/>
      <c r="T88" s="58"/>
      <c r="U88" s="58"/>
      <c r="V88" s="58"/>
      <c r="W88" s="58"/>
      <c r="X88" s="58"/>
      <c r="Y88" s="58"/>
      <c r="Z88" s="59"/>
      <c r="AA88" s="59"/>
      <c r="AB88" s="59"/>
      <c r="AC88" s="58"/>
      <c r="AD88" s="58"/>
      <c r="AE88" s="58"/>
      <c r="AF88" s="58">
        <f>6.5*1.18+0.6*1.18</f>
        <v>8.3780000000000001</v>
      </c>
      <c r="AG88" s="58"/>
      <c r="AH88" s="58"/>
      <c r="AI88" s="60">
        <f t="shared" si="6"/>
        <v>8.3780000000000001</v>
      </c>
      <c r="AL88" s="127" t="s">
        <v>200</v>
      </c>
    </row>
    <row r="89" spans="1:38" ht="49.5">
      <c r="A89" s="135">
        <v>80</v>
      </c>
      <c r="B89" s="55" t="s">
        <v>201</v>
      </c>
      <c r="C89" s="58"/>
      <c r="D89" s="58"/>
      <c r="E89" s="58"/>
      <c r="F89" s="58"/>
      <c r="G89" s="58"/>
      <c r="H89" s="58"/>
      <c r="I89" s="59"/>
      <c r="J89" s="59"/>
      <c r="K89" s="59"/>
      <c r="L89" s="59"/>
      <c r="M89" s="59"/>
      <c r="N89" s="59"/>
      <c r="O89" s="58">
        <v>23.599999999999998</v>
      </c>
      <c r="P89" s="59"/>
      <c r="Q89" s="59"/>
      <c r="R89" s="59"/>
      <c r="S89" s="58"/>
      <c r="T89" s="58"/>
      <c r="U89" s="58"/>
      <c r="V89" s="58"/>
      <c r="W89" s="58"/>
      <c r="X89" s="58"/>
      <c r="Y89" s="58"/>
      <c r="Z89" s="59"/>
      <c r="AA89" s="59"/>
      <c r="AB89" s="59"/>
      <c r="AC89" s="58">
        <f>20*1.18</f>
        <v>23.599999999999998</v>
      </c>
      <c r="AD89" s="58">
        <f>20*1.18</f>
        <v>23.599999999999998</v>
      </c>
      <c r="AE89" s="58"/>
      <c r="AF89" s="58"/>
      <c r="AG89" s="58"/>
      <c r="AH89" s="58"/>
      <c r="AI89" s="60">
        <f t="shared" si="6"/>
        <v>23.599999999999998</v>
      </c>
      <c r="AL89" s="127" t="s">
        <v>201</v>
      </c>
    </row>
    <row r="90" spans="1:38" ht="115.5">
      <c r="A90" s="135">
        <v>81</v>
      </c>
      <c r="B90" s="55" t="s">
        <v>202</v>
      </c>
      <c r="C90" s="58"/>
      <c r="D90" s="58"/>
      <c r="E90" s="58"/>
      <c r="F90" s="58"/>
      <c r="G90" s="58"/>
      <c r="H90" s="58"/>
      <c r="I90" s="59"/>
      <c r="J90" s="59"/>
      <c r="K90" s="59"/>
      <c r="L90" s="59"/>
      <c r="M90" s="59"/>
      <c r="N90" s="59"/>
      <c r="O90" s="58">
        <v>5.8999999999999995</v>
      </c>
      <c r="P90" s="59"/>
      <c r="Q90" s="59"/>
      <c r="R90" s="59"/>
      <c r="S90" s="58"/>
      <c r="T90" s="58"/>
      <c r="U90" s="58"/>
      <c r="V90" s="58"/>
      <c r="W90" s="58"/>
      <c r="X90" s="58"/>
      <c r="Y90" s="58"/>
      <c r="Z90" s="59"/>
      <c r="AA90" s="59"/>
      <c r="AB90" s="59"/>
      <c r="AC90" s="58">
        <f>2*1.18</f>
        <v>2.36</v>
      </c>
      <c r="AD90" s="58">
        <f>2*1.18</f>
        <v>2.36</v>
      </c>
      <c r="AE90" s="58">
        <f>3*1.18</f>
        <v>3.54</v>
      </c>
      <c r="AF90" s="58"/>
      <c r="AG90" s="58"/>
      <c r="AH90" s="58"/>
      <c r="AI90" s="60">
        <f t="shared" si="6"/>
        <v>5.9</v>
      </c>
      <c r="AL90" s="127" t="s">
        <v>202</v>
      </c>
    </row>
    <row r="91" spans="1:38" ht="115.5">
      <c r="A91" s="135">
        <v>82</v>
      </c>
      <c r="B91" s="55" t="s">
        <v>203</v>
      </c>
      <c r="C91" s="58"/>
      <c r="D91" s="58"/>
      <c r="E91" s="58"/>
      <c r="F91" s="58"/>
      <c r="G91" s="58"/>
      <c r="H91" s="58"/>
      <c r="I91" s="59"/>
      <c r="J91" s="59"/>
      <c r="K91" s="59"/>
      <c r="L91" s="59"/>
      <c r="M91" s="59"/>
      <c r="N91" s="59"/>
      <c r="O91" s="58">
        <v>36.933999999999997</v>
      </c>
      <c r="P91" s="59"/>
      <c r="Q91" s="59"/>
      <c r="R91" s="59"/>
      <c r="S91" s="58"/>
      <c r="T91" s="58"/>
      <c r="U91" s="58"/>
      <c r="V91" s="58"/>
      <c r="W91" s="58"/>
      <c r="X91" s="58"/>
      <c r="Y91" s="58"/>
      <c r="Z91" s="59"/>
      <c r="AA91" s="59"/>
      <c r="AB91" s="59"/>
      <c r="AC91" s="58">
        <f>1.5*1.18</f>
        <v>1.77</v>
      </c>
      <c r="AD91" s="58">
        <f>1.5*1.18</f>
        <v>1.77</v>
      </c>
      <c r="AE91" s="58">
        <f>17.8*1.18</f>
        <v>21.004000000000001</v>
      </c>
      <c r="AF91" s="58">
        <f>3.5*1.18</f>
        <v>4.13</v>
      </c>
      <c r="AG91" s="58">
        <f>0.6*1.18</f>
        <v>0.70799999999999996</v>
      </c>
      <c r="AH91" s="58">
        <f>7.9*1.18</f>
        <v>9.3219999999999992</v>
      </c>
      <c r="AI91" s="60">
        <f t="shared" si="6"/>
        <v>36.933999999999997</v>
      </c>
      <c r="AL91" s="127" t="s">
        <v>203</v>
      </c>
    </row>
    <row r="92" spans="1:38" ht="66">
      <c r="A92" s="135">
        <v>83</v>
      </c>
      <c r="B92" s="55" t="s">
        <v>204</v>
      </c>
      <c r="C92" s="58"/>
      <c r="D92" s="58"/>
      <c r="E92" s="58"/>
      <c r="F92" s="58"/>
      <c r="G92" s="58"/>
      <c r="H92" s="58"/>
      <c r="I92" s="59"/>
      <c r="J92" s="59"/>
      <c r="K92" s="59"/>
      <c r="L92" s="59"/>
      <c r="M92" s="59"/>
      <c r="N92" s="59"/>
      <c r="O92" s="58">
        <v>20.65</v>
      </c>
      <c r="P92" s="59"/>
      <c r="Q92" s="59"/>
      <c r="R92" s="59"/>
      <c r="S92" s="58"/>
      <c r="T92" s="58"/>
      <c r="U92" s="58"/>
      <c r="V92" s="58"/>
      <c r="W92" s="58"/>
      <c r="X92" s="58"/>
      <c r="Y92" s="58"/>
      <c r="Z92" s="59"/>
      <c r="AA92" s="59"/>
      <c r="AB92" s="59"/>
      <c r="AC92" s="58">
        <f>0.3*1.18</f>
        <v>0.35399999999999998</v>
      </c>
      <c r="AD92" s="58">
        <f>0.3*1.18</f>
        <v>0.35399999999999998</v>
      </c>
      <c r="AE92" s="58">
        <f>3.5*1.18</f>
        <v>4.13</v>
      </c>
      <c r="AF92" s="58">
        <f>3.8*1.18</f>
        <v>4.484</v>
      </c>
      <c r="AG92" s="58">
        <f>6.7*1.18</f>
        <v>7.9059999999999997</v>
      </c>
      <c r="AH92" s="58">
        <f>3.2*1.18</f>
        <v>3.7759999999999998</v>
      </c>
      <c r="AI92" s="60">
        <f t="shared" si="6"/>
        <v>20.65</v>
      </c>
      <c r="AL92" s="127" t="s">
        <v>204</v>
      </c>
    </row>
    <row r="93" spans="1:38" ht="33">
      <c r="A93" s="135">
        <v>84</v>
      </c>
      <c r="B93" s="55" t="s">
        <v>205</v>
      </c>
      <c r="C93" s="58"/>
      <c r="D93" s="58"/>
      <c r="E93" s="58"/>
      <c r="F93" s="58"/>
      <c r="G93" s="58"/>
      <c r="H93" s="58"/>
      <c r="I93" s="59"/>
      <c r="J93" s="59"/>
      <c r="K93" s="59"/>
      <c r="L93" s="59"/>
      <c r="M93" s="59"/>
      <c r="N93" s="59"/>
      <c r="O93" s="58">
        <v>3.54</v>
      </c>
      <c r="P93" s="59"/>
      <c r="Q93" s="59"/>
      <c r="R93" s="59"/>
      <c r="S93" s="58"/>
      <c r="T93" s="58"/>
      <c r="U93" s="58"/>
      <c r="V93" s="58"/>
      <c r="W93" s="58"/>
      <c r="X93" s="58"/>
      <c r="Y93" s="58"/>
      <c r="Z93" s="59"/>
      <c r="AA93" s="59"/>
      <c r="AB93" s="59"/>
      <c r="AC93" s="58"/>
      <c r="AD93" s="58"/>
      <c r="AE93" s="58"/>
      <c r="AF93" s="58">
        <f>1*1.18</f>
        <v>1.18</v>
      </c>
      <c r="AG93" s="58">
        <f>1*1.18</f>
        <v>1.18</v>
      </c>
      <c r="AH93" s="58">
        <f>1*1.18</f>
        <v>1.18</v>
      </c>
      <c r="AI93" s="60">
        <f t="shared" si="6"/>
        <v>3.54</v>
      </c>
      <c r="AL93" s="127" t="s">
        <v>205</v>
      </c>
    </row>
    <row r="94" spans="1:38" ht="66">
      <c r="A94" s="135">
        <v>85</v>
      </c>
      <c r="B94" s="55" t="s">
        <v>206</v>
      </c>
      <c r="C94" s="58"/>
      <c r="D94" s="58"/>
      <c r="E94" s="58"/>
      <c r="F94" s="58"/>
      <c r="G94" s="58"/>
      <c r="H94" s="58"/>
      <c r="I94" s="59"/>
      <c r="J94" s="59"/>
      <c r="K94" s="59"/>
      <c r="L94" s="59"/>
      <c r="M94" s="59"/>
      <c r="N94" s="59"/>
      <c r="O94" s="58">
        <v>70.8</v>
      </c>
      <c r="P94" s="59"/>
      <c r="Q94" s="59"/>
      <c r="R94" s="59"/>
      <c r="S94" s="58"/>
      <c r="T94" s="58"/>
      <c r="U94" s="58"/>
      <c r="V94" s="58"/>
      <c r="W94" s="58"/>
      <c r="X94" s="58"/>
      <c r="Y94" s="58"/>
      <c r="Z94" s="59"/>
      <c r="AA94" s="59"/>
      <c r="AB94" s="59"/>
      <c r="AC94" s="58">
        <f>2.7*1.18</f>
        <v>3.1859999999999999</v>
      </c>
      <c r="AD94" s="58">
        <f>2.7*1.18</f>
        <v>3.1859999999999999</v>
      </c>
      <c r="AE94" s="58">
        <f>14.2*1.18</f>
        <v>16.755999999999997</v>
      </c>
      <c r="AF94" s="58">
        <f>17.7*1.18</f>
        <v>20.885999999999999</v>
      </c>
      <c r="AG94" s="58">
        <f>12.7*1.18</f>
        <v>14.985999999999999</v>
      </c>
      <c r="AH94" s="58">
        <f>12.7*1.18</f>
        <v>14.985999999999999</v>
      </c>
      <c r="AI94" s="60">
        <f t="shared" si="6"/>
        <v>70.8</v>
      </c>
      <c r="AL94" s="127" t="s">
        <v>206</v>
      </c>
    </row>
    <row r="95" spans="1:38" ht="33">
      <c r="A95" s="135">
        <v>86</v>
      </c>
      <c r="B95" s="54" t="s">
        <v>606</v>
      </c>
      <c r="C95" s="58"/>
      <c r="D95" s="58"/>
      <c r="E95" s="58"/>
      <c r="F95" s="58"/>
      <c r="G95" s="58"/>
      <c r="H95" s="58"/>
      <c r="I95" s="59"/>
      <c r="J95" s="59"/>
      <c r="K95" s="59"/>
      <c r="L95" s="59"/>
      <c r="M95" s="59"/>
      <c r="N95" s="59"/>
      <c r="O95" s="58">
        <v>47.317999999999998</v>
      </c>
      <c r="P95" s="59"/>
      <c r="Q95" s="59"/>
      <c r="R95" s="59"/>
      <c r="S95" s="58"/>
      <c r="T95" s="58"/>
      <c r="U95" s="58"/>
      <c r="V95" s="58"/>
      <c r="W95" s="58"/>
      <c r="X95" s="58"/>
      <c r="Y95" s="58"/>
      <c r="Z95" s="59"/>
      <c r="AA95" s="59"/>
      <c r="AB95" s="59"/>
      <c r="AC95" s="58">
        <f>20*1.18</f>
        <v>23.599999999999998</v>
      </c>
      <c r="AD95" s="58">
        <f>20*1.18</f>
        <v>23.599999999999998</v>
      </c>
      <c r="AE95" s="58"/>
      <c r="AF95" s="58">
        <f>20.1*1.18</f>
        <v>23.718</v>
      </c>
      <c r="AG95" s="58"/>
      <c r="AH95" s="58"/>
      <c r="AI95" s="60">
        <f t="shared" si="6"/>
        <v>47.317999999999998</v>
      </c>
      <c r="AL95" s="119" t="s">
        <v>606</v>
      </c>
    </row>
    <row r="96" spans="1:38" ht="49.5">
      <c r="A96" s="135">
        <v>87</v>
      </c>
      <c r="B96" s="55" t="s">
        <v>207</v>
      </c>
      <c r="C96" s="58">
        <v>80</v>
      </c>
      <c r="D96" s="58"/>
      <c r="E96" s="58"/>
      <c r="F96" s="58"/>
      <c r="G96" s="58"/>
      <c r="H96" s="58">
        <f t="shared" ref="H96:H101" si="8">SUM(C96:G96)</f>
        <v>80</v>
      </c>
      <c r="I96" s="59"/>
      <c r="J96" s="59"/>
      <c r="K96" s="59"/>
      <c r="L96" s="59"/>
      <c r="M96" s="59"/>
      <c r="N96" s="59"/>
      <c r="O96" s="58">
        <v>460.25</v>
      </c>
      <c r="P96" s="59"/>
      <c r="Q96" s="59"/>
      <c r="R96" s="59"/>
      <c r="S96" s="58">
        <v>80</v>
      </c>
      <c r="T96" s="58">
        <v>80</v>
      </c>
      <c r="U96" s="58"/>
      <c r="V96" s="58"/>
      <c r="W96" s="58"/>
      <c r="X96" s="58"/>
      <c r="Y96" s="58">
        <f t="shared" ref="Y96:Y101" si="9">SUM(T96:X96)</f>
        <v>80</v>
      </c>
      <c r="Z96" s="59"/>
      <c r="AA96" s="59"/>
      <c r="AB96" s="59"/>
      <c r="AC96" s="58">
        <f>194.058*1.18</f>
        <v>228.98843999999997</v>
      </c>
      <c r="AD96" s="58">
        <f>194.058*1.18</f>
        <v>228.98843999999997</v>
      </c>
      <c r="AE96" s="58"/>
      <c r="AF96" s="58"/>
      <c r="AG96" s="58"/>
      <c r="AH96" s="58"/>
      <c r="AI96" s="60">
        <f t="shared" si="6"/>
        <v>228.98843999999997</v>
      </c>
      <c r="AL96" s="127" t="s">
        <v>207</v>
      </c>
    </row>
    <row r="97" spans="1:38" ht="33">
      <c r="A97" s="135">
        <v>88</v>
      </c>
      <c r="B97" s="55" t="s">
        <v>208</v>
      </c>
      <c r="C97" s="58"/>
      <c r="D97" s="58"/>
      <c r="E97" s="58"/>
      <c r="F97" s="58">
        <v>12.6</v>
      </c>
      <c r="G97" s="58"/>
      <c r="H97" s="58">
        <f t="shared" si="8"/>
        <v>12.6</v>
      </c>
      <c r="I97" s="59"/>
      <c r="J97" s="59"/>
      <c r="K97" s="59"/>
      <c r="L97" s="59"/>
      <c r="M97" s="59"/>
      <c r="N97" s="59"/>
      <c r="O97" s="58">
        <v>53.099999999999994</v>
      </c>
      <c r="P97" s="59"/>
      <c r="Q97" s="59"/>
      <c r="R97" s="59"/>
      <c r="S97" s="58"/>
      <c r="T97" s="58"/>
      <c r="U97" s="58"/>
      <c r="V97" s="58"/>
      <c r="W97" s="58">
        <v>12.6</v>
      </c>
      <c r="X97" s="58"/>
      <c r="Y97" s="58">
        <f t="shared" si="9"/>
        <v>12.6</v>
      </c>
      <c r="Z97" s="59"/>
      <c r="AA97" s="59"/>
      <c r="AB97" s="59"/>
      <c r="AC97" s="58"/>
      <c r="AD97" s="58"/>
      <c r="AE97" s="58"/>
      <c r="AF97" s="58"/>
      <c r="AG97" s="58">
        <f>40*1.18+5*1.18</f>
        <v>53.099999999999994</v>
      </c>
      <c r="AH97" s="58"/>
      <c r="AI97" s="60">
        <f t="shared" si="6"/>
        <v>53.099999999999994</v>
      </c>
      <c r="AL97" s="127" t="s">
        <v>208</v>
      </c>
    </row>
    <row r="98" spans="1:38" ht="33">
      <c r="A98" s="135">
        <v>89</v>
      </c>
      <c r="B98" s="55" t="s">
        <v>210</v>
      </c>
      <c r="C98" s="58"/>
      <c r="D98" s="58"/>
      <c r="E98" s="58"/>
      <c r="F98" s="58">
        <v>10</v>
      </c>
      <c r="G98" s="58">
        <v>10</v>
      </c>
      <c r="H98" s="58">
        <f t="shared" si="8"/>
        <v>20</v>
      </c>
      <c r="I98" s="59"/>
      <c r="J98" s="59"/>
      <c r="K98" s="59"/>
      <c r="L98" s="59"/>
      <c r="M98" s="59"/>
      <c r="N98" s="59"/>
      <c r="O98" s="58">
        <v>96.759999999999991</v>
      </c>
      <c r="P98" s="59"/>
      <c r="Q98" s="59"/>
      <c r="R98" s="59"/>
      <c r="S98" s="58"/>
      <c r="T98" s="58"/>
      <c r="U98" s="58"/>
      <c r="V98" s="58"/>
      <c r="W98" s="58">
        <v>10</v>
      </c>
      <c r="X98" s="58">
        <v>10</v>
      </c>
      <c r="Y98" s="58">
        <f t="shared" si="9"/>
        <v>20</v>
      </c>
      <c r="Z98" s="59"/>
      <c r="AA98" s="59"/>
      <c r="AB98" s="59"/>
      <c r="AC98" s="58"/>
      <c r="AD98" s="58"/>
      <c r="AE98" s="58"/>
      <c r="AF98" s="58"/>
      <c r="AG98" s="58">
        <f>37*1.18+8*1.18</f>
        <v>53.099999999999994</v>
      </c>
      <c r="AH98" s="58">
        <f>37*1.18</f>
        <v>43.66</v>
      </c>
      <c r="AI98" s="60">
        <f t="shared" si="6"/>
        <v>96.759999999999991</v>
      </c>
      <c r="AL98" s="127" t="s">
        <v>210</v>
      </c>
    </row>
    <row r="99" spans="1:38" ht="33">
      <c r="A99" s="135">
        <v>90</v>
      </c>
      <c r="B99" s="55" t="s">
        <v>221</v>
      </c>
      <c r="C99" s="58"/>
      <c r="D99" s="58"/>
      <c r="E99" s="58">
        <v>25</v>
      </c>
      <c r="F99" s="58">
        <v>25</v>
      </c>
      <c r="G99" s="58"/>
      <c r="H99" s="58">
        <f t="shared" si="8"/>
        <v>50</v>
      </c>
      <c r="I99" s="59"/>
      <c r="J99" s="59"/>
      <c r="K99" s="59"/>
      <c r="L99" s="59"/>
      <c r="M99" s="59"/>
      <c r="N99" s="59"/>
      <c r="O99" s="58">
        <v>474.35999999999996</v>
      </c>
      <c r="P99" s="59"/>
      <c r="Q99" s="59"/>
      <c r="R99" s="59"/>
      <c r="S99" s="58"/>
      <c r="T99" s="58"/>
      <c r="U99" s="58"/>
      <c r="V99" s="58">
        <v>25</v>
      </c>
      <c r="W99" s="58">
        <v>25</v>
      </c>
      <c r="X99" s="58"/>
      <c r="Y99" s="58">
        <f t="shared" si="9"/>
        <v>50</v>
      </c>
      <c r="Z99" s="59"/>
      <c r="AA99" s="59"/>
      <c r="AB99" s="59"/>
      <c r="AC99" s="58"/>
      <c r="AD99" s="58"/>
      <c r="AE99" s="58"/>
      <c r="AF99" s="58">
        <f>100*1.18+100*1.18+105*1.18</f>
        <v>359.9</v>
      </c>
      <c r="AG99" s="58">
        <f>97*1.18</f>
        <v>114.46</v>
      </c>
      <c r="AH99" s="58"/>
      <c r="AI99" s="60">
        <f t="shared" si="6"/>
        <v>474.35999999999996</v>
      </c>
      <c r="AL99" s="127" t="s">
        <v>221</v>
      </c>
    </row>
    <row r="100" spans="1:38" ht="33">
      <c r="A100" s="135">
        <v>91</v>
      </c>
      <c r="B100" s="55" t="s">
        <v>224</v>
      </c>
      <c r="C100" s="58"/>
      <c r="D100" s="58"/>
      <c r="E100" s="58"/>
      <c r="F100" s="58">
        <v>6.3</v>
      </c>
      <c r="G100" s="58">
        <v>6.3</v>
      </c>
      <c r="H100" s="58">
        <f t="shared" si="8"/>
        <v>12.6</v>
      </c>
      <c r="I100" s="59"/>
      <c r="J100" s="59"/>
      <c r="K100" s="59"/>
      <c r="L100" s="59"/>
      <c r="M100" s="59"/>
      <c r="N100" s="59"/>
      <c r="O100" s="58">
        <v>87.32</v>
      </c>
      <c r="P100" s="59"/>
      <c r="Q100" s="59"/>
      <c r="R100" s="59"/>
      <c r="S100" s="58"/>
      <c r="T100" s="58"/>
      <c r="U100" s="58"/>
      <c r="V100" s="58"/>
      <c r="W100" s="58">
        <v>6.3</v>
      </c>
      <c r="X100" s="58">
        <v>6.3</v>
      </c>
      <c r="Y100" s="58">
        <f t="shared" si="9"/>
        <v>12.6</v>
      </c>
      <c r="Z100" s="59"/>
      <c r="AA100" s="59"/>
      <c r="AB100" s="59"/>
      <c r="AC100" s="58"/>
      <c r="AD100" s="58"/>
      <c r="AE100" s="58"/>
      <c r="AF100" s="58"/>
      <c r="AG100" s="58">
        <f>37*1.18</f>
        <v>43.66</v>
      </c>
      <c r="AH100" s="58">
        <f>37*1.18</f>
        <v>43.66</v>
      </c>
      <c r="AI100" s="60">
        <f t="shared" si="6"/>
        <v>87.32</v>
      </c>
      <c r="AL100" s="127" t="s">
        <v>224</v>
      </c>
    </row>
    <row r="101" spans="1:38" ht="33">
      <c r="A101" s="135">
        <v>92</v>
      </c>
      <c r="B101" s="55" t="s">
        <v>226</v>
      </c>
      <c r="C101" s="58"/>
      <c r="D101" s="58"/>
      <c r="E101" s="58">
        <v>10</v>
      </c>
      <c r="F101" s="58">
        <v>10</v>
      </c>
      <c r="G101" s="58"/>
      <c r="H101" s="58">
        <f t="shared" si="8"/>
        <v>20</v>
      </c>
      <c r="I101" s="59"/>
      <c r="J101" s="59"/>
      <c r="K101" s="59"/>
      <c r="L101" s="59"/>
      <c r="M101" s="59"/>
      <c r="N101" s="59"/>
      <c r="O101" s="58">
        <v>99.11999999999999</v>
      </c>
      <c r="P101" s="59"/>
      <c r="Q101" s="59"/>
      <c r="R101" s="59"/>
      <c r="S101" s="58"/>
      <c r="T101" s="58"/>
      <c r="U101" s="58"/>
      <c r="V101" s="58">
        <v>10</v>
      </c>
      <c r="W101" s="58">
        <v>10</v>
      </c>
      <c r="X101" s="58"/>
      <c r="Y101" s="58">
        <f t="shared" si="9"/>
        <v>20</v>
      </c>
      <c r="Z101" s="59"/>
      <c r="AA101" s="59"/>
      <c r="AB101" s="59"/>
      <c r="AC101" s="58"/>
      <c r="AD101" s="58"/>
      <c r="AE101" s="58"/>
      <c r="AF101" s="58">
        <f>42*1.18</f>
        <v>49.559999999999995</v>
      </c>
      <c r="AG101" s="58">
        <f>42*1.18</f>
        <v>49.559999999999995</v>
      </c>
      <c r="AH101" s="58"/>
      <c r="AI101" s="60">
        <f t="shared" si="6"/>
        <v>99.11999999999999</v>
      </c>
      <c r="AL101" s="127" t="s">
        <v>226</v>
      </c>
    </row>
    <row r="102" spans="1:38" ht="16.5">
      <c r="A102" s="135">
        <v>93</v>
      </c>
      <c r="B102" s="55" t="s">
        <v>329</v>
      </c>
      <c r="C102" s="58"/>
      <c r="D102" s="58"/>
      <c r="E102" s="58"/>
      <c r="F102" s="58"/>
      <c r="G102" s="58"/>
      <c r="H102" s="58"/>
      <c r="I102" s="59"/>
      <c r="J102" s="59"/>
      <c r="K102" s="59"/>
      <c r="L102" s="59"/>
      <c r="M102" s="59"/>
      <c r="N102" s="59"/>
      <c r="O102" s="58">
        <v>11.799999999999999</v>
      </c>
      <c r="P102" s="59"/>
      <c r="Q102" s="59"/>
      <c r="R102" s="59"/>
      <c r="S102" s="58"/>
      <c r="T102" s="58"/>
      <c r="U102" s="58"/>
      <c r="V102" s="58"/>
      <c r="W102" s="58"/>
      <c r="X102" s="58"/>
      <c r="Y102" s="58"/>
      <c r="Z102" s="59"/>
      <c r="AA102" s="59"/>
      <c r="AB102" s="59"/>
      <c r="AC102" s="58"/>
      <c r="AD102" s="58"/>
      <c r="AE102" s="58"/>
      <c r="AF102" s="58">
        <f>10*1.18</f>
        <v>11.799999999999999</v>
      </c>
      <c r="AG102" s="58"/>
      <c r="AH102" s="58"/>
      <c r="AI102" s="60">
        <f t="shared" si="6"/>
        <v>11.799999999999999</v>
      </c>
      <c r="AL102" s="127" t="s">
        <v>329</v>
      </c>
    </row>
    <row r="103" spans="1:38" ht="33">
      <c r="A103" s="135">
        <v>94</v>
      </c>
      <c r="B103" s="55" t="s">
        <v>229</v>
      </c>
      <c r="C103" s="58"/>
      <c r="D103" s="58"/>
      <c r="E103" s="58"/>
      <c r="F103" s="58"/>
      <c r="G103" s="58"/>
      <c r="H103" s="58"/>
      <c r="I103" s="59"/>
      <c r="J103" s="59"/>
      <c r="K103" s="59"/>
      <c r="L103" s="59"/>
      <c r="M103" s="59"/>
      <c r="N103" s="59"/>
      <c r="O103" s="58">
        <v>19.47</v>
      </c>
      <c r="P103" s="59"/>
      <c r="Q103" s="59"/>
      <c r="R103" s="59"/>
      <c r="S103" s="58"/>
      <c r="T103" s="58"/>
      <c r="U103" s="58"/>
      <c r="V103" s="58"/>
      <c r="W103" s="58"/>
      <c r="X103" s="58"/>
      <c r="Y103" s="58"/>
      <c r="Z103" s="59"/>
      <c r="AA103" s="59"/>
      <c r="AB103" s="59"/>
      <c r="AC103" s="58"/>
      <c r="AD103" s="58"/>
      <c r="AE103" s="58"/>
      <c r="AF103" s="58">
        <f>16.5*1.18</f>
        <v>19.47</v>
      </c>
      <c r="AG103" s="58"/>
      <c r="AH103" s="58"/>
      <c r="AI103" s="60">
        <f t="shared" si="6"/>
        <v>19.47</v>
      </c>
      <c r="AL103" s="127" t="s">
        <v>229</v>
      </c>
    </row>
    <row r="104" spans="1:38" ht="33">
      <c r="A104" s="135">
        <v>95</v>
      </c>
      <c r="B104" s="55" t="s">
        <v>230</v>
      </c>
      <c r="C104" s="58"/>
      <c r="D104" s="58"/>
      <c r="E104" s="58"/>
      <c r="F104" s="58"/>
      <c r="G104" s="58"/>
      <c r="H104" s="58"/>
      <c r="I104" s="59"/>
      <c r="J104" s="59"/>
      <c r="K104" s="59"/>
      <c r="L104" s="59"/>
      <c r="M104" s="59"/>
      <c r="N104" s="59"/>
      <c r="O104" s="58">
        <v>25.959999999999997</v>
      </c>
      <c r="P104" s="59"/>
      <c r="Q104" s="59"/>
      <c r="R104" s="59"/>
      <c r="S104" s="58"/>
      <c r="T104" s="58"/>
      <c r="U104" s="58"/>
      <c r="V104" s="58"/>
      <c r="W104" s="58"/>
      <c r="X104" s="58"/>
      <c r="Y104" s="58"/>
      <c r="Z104" s="59"/>
      <c r="AA104" s="59"/>
      <c r="AB104" s="59"/>
      <c r="AC104" s="58"/>
      <c r="AD104" s="58"/>
      <c r="AE104" s="58"/>
      <c r="AF104" s="58">
        <f>20*1.18+2*1.18</f>
        <v>25.959999999999997</v>
      </c>
      <c r="AG104" s="58"/>
      <c r="AH104" s="58"/>
      <c r="AI104" s="60">
        <f t="shared" si="6"/>
        <v>25.959999999999997</v>
      </c>
      <c r="AL104" s="127" t="s">
        <v>230</v>
      </c>
    </row>
    <row r="105" spans="1:38" ht="33">
      <c r="A105" s="135">
        <v>96</v>
      </c>
      <c r="B105" s="55" t="s">
        <v>231</v>
      </c>
      <c r="C105" s="58"/>
      <c r="D105" s="58"/>
      <c r="E105" s="58"/>
      <c r="F105" s="58"/>
      <c r="G105" s="58"/>
      <c r="H105" s="58"/>
      <c r="I105" s="59"/>
      <c r="J105" s="59"/>
      <c r="K105" s="59"/>
      <c r="L105" s="59"/>
      <c r="M105" s="59"/>
      <c r="N105" s="59"/>
      <c r="O105" s="58">
        <v>20.059999999999999</v>
      </c>
      <c r="P105" s="59"/>
      <c r="Q105" s="59"/>
      <c r="R105" s="59"/>
      <c r="S105" s="58"/>
      <c r="T105" s="58"/>
      <c r="U105" s="58"/>
      <c r="V105" s="58"/>
      <c r="W105" s="58"/>
      <c r="X105" s="58"/>
      <c r="Y105" s="58"/>
      <c r="Z105" s="59"/>
      <c r="AA105" s="59"/>
      <c r="AB105" s="59"/>
      <c r="AC105" s="58"/>
      <c r="AD105" s="58"/>
      <c r="AE105" s="58"/>
      <c r="AF105" s="58"/>
      <c r="AG105" s="58">
        <f>15*1.18+2*1.18</f>
        <v>20.059999999999999</v>
      </c>
      <c r="AH105" s="58"/>
      <c r="AI105" s="60">
        <f t="shared" si="6"/>
        <v>20.059999999999999</v>
      </c>
      <c r="AL105" s="127" t="s">
        <v>231</v>
      </c>
    </row>
    <row r="106" spans="1:38" ht="16.5">
      <c r="A106" s="135">
        <v>97</v>
      </c>
      <c r="B106" s="55" t="s">
        <v>232</v>
      </c>
      <c r="C106" s="58"/>
      <c r="D106" s="58"/>
      <c r="E106" s="58"/>
      <c r="F106" s="58"/>
      <c r="G106" s="58"/>
      <c r="H106" s="58"/>
      <c r="I106" s="59"/>
      <c r="J106" s="59"/>
      <c r="K106" s="59"/>
      <c r="L106" s="59"/>
      <c r="M106" s="59"/>
      <c r="N106" s="59"/>
      <c r="O106" s="58">
        <v>21.24</v>
      </c>
      <c r="P106" s="59"/>
      <c r="Q106" s="59"/>
      <c r="R106" s="59"/>
      <c r="S106" s="58"/>
      <c r="T106" s="58"/>
      <c r="U106" s="58"/>
      <c r="V106" s="58"/>
      <c r="W106" s="58"/>
      <c r="X106" s="58"/>
      <c r="Y106" s="58"/>
      <c r="Z106" s="59"/>
      <c r="AA106" s="59"/>
      <c r="AB106" s="59"/>
      <c r="AC106" s="58"/>
      <c r="AD106" s="58"/>
      <c r="AE106" s="58"/>
      <c r="AF106" s="58"/>
      <c r="AG106" s="58"/>
      <c r="AH106" s="58">
        <f>15*1.18+3*1.18</f>
        <v>21.24</v>
      </c>
      <c r="AI106" s="60">
        <f t="shared" si="6"/>
        <v>21.24</v>
      </c>
      <c r="AL106" s="127" t="s">
        <v>232</v>
      </c>
    </row>
    <row r="107" spans="1:38" ht="49.5">
      <c r="A107" s="135">
        <v>98</v>
      </c>
      <c r="B107" s="55" t="s">
        <v>637</v>
      </c>
      <c r="C107" s="58">
        <v>0.5</v>
      </c>
      <c r="D107" s="58">
        <v>0.5</v>
      </c>
      <c r="E107" s="58">
        <v>0.5</v>
      </c>
      <c r="F107" s="58">
        <v>0.5</v>
      </c>
      <c r="G107" s="58">
        <v>0.5</v>
      </c>
      <c r="H107" s="58">
        <f t="shared" ref="H107:H112" si="10">SUM(C107:G107)</f>
        <v>2.5</v>
      </c>
      <c r="I107" s="59"/>
      <c r="J107" s="59"/>
      <c r="K107" s="59"/>
      <c r="L107" s="59"/>
      <c r="M107" s="59"/>
      <c r="N107" s="59"/>
      <c r="O107" s="58">
        <v>174.404</v>
      </c>
      <c r="P107" s="59"/>
      <c r="Q107" s="59"/>
      <c r="R107" s="59"/>
      <c r="S107" s="58">
        <v>0.5</v>
      </c>
      <c r="T107" s="58">
        <v>0.5</v>
      </c>
      <c r="U107" s="58">
        <v>0.5</v>
      </c>
      <c r="V107" s="58">
        <v>0.5</v>
      </c>
      <c r="W107" s="58">
        <v>0.5</v>
      </c>
      <c r="X107" s="58">
        <v>0.5</v>
      </c>
      <c r="Y107" s="58">
        <f t="shared" ref="Y107:Y112" si="11">SUM(T107:X107)</f>
        <v>2.5</v>
      </c>
      <c r="Z107" s="59"/>
      <c r="AA107" s="59"/>
      <c r="AB107" s="59"/>
      <c r="AC107" s="58">
        <f>30*1.18*0.3</f>
        <v>10.62</v>
      </c>
      <c r="AD107" s="58">
        <f>30*1.18*0.3</f>
        <v>10.62</v>
      </c>
      <c r="AE107" s="58">
        <f>45*1.18*0.3</f>
        <v>15.929999999999998</v>
      </c>
      <c r="AF107" s="58">
        <f>40*1.18*0.3</f>
        <v>14.159999999999998</v>
      </c>
      <c r="AG107" s="58">
        <f>19.6*1.18*0.3</f>
        <v>6.9383999999999997</v>
      </c>
      <c r="AH107" s="58">
        <f>13.2*1.18*0.3</f>
        <v>4.6727999999999996</v>
      </c>
      <c r="AI107" s="60">
        <f t="shared" si="6"/>
        <v>52.321199999999997</v>
      </c>
      <c r="AL107" s="127" t="s">
        <v>637</v>
      </c>
    </row>
    <row r="108" spans="1:38" ht="49.5">
      <c r="A108" s="135">
        <v>99</v>
      </c>
      <c r="B108" s="55" t="s">
        <v>638</v>
      </c>
      <c r="C108" s="58">
        <v>2</v>
      </c>
      <c r="D108" s="58">
        <v>2</v>
      </c>
      <c r="E108" s="58">
        <v>2</v>
      </c>
      <c r="F108" s="58">
        <v>2</v>
      </c>
      <c r="G108" s="58">
        <v>2</v>
      </c>
      <c r="H108" s="58">
        <f t="shared" si="10"/>
        <v>10</v>
      </c>
      <c r="I108" s="59"/>
      <c r="J108" s="59"/>
      <c r="K108" s="59"/>
      <c r="L108" s="59"/>
      <c r="M108" s="59"/>
      <c r="N108" s="59"/>
      <c r="O108" s="58">
        <v>215.94</v>
      </c>
      <c r="P108" s="59"/>
      <c r="Q108" s="59"/>
      <c r="R108" s="59"/>
      <c r="S108" s="58">
        <v>2</v>
      </c>
      <c r="T108" s="58">
        <v>2</v>
      </c>
      <c r="U108" s="58">
        <v>2</v>
      </c>
      <c r="V108" s="58">
        <v>2</v>
      </c>
      <c r="W108" s="58">
        <v>2</v>
      </c>
      <c r="X108" s="58">
        <v>2</v>
      </c>
      <c r="Y108" s="58">
        <f t="shared" si="11"/>
        <v>10</v>
      </c>
      <c r="Z108" s="59"/>
      <c r="AA108" s="59"/>
      <c r="AB108" s="59"/>
      <c r="AC108" s="58">
        <f>40*1.18*0.3</f>
        <v>14.159999999999998</v>
      </c>
      <c r="AD108" s="58">
        <f>40*1.18*0.3</f>
        <v>14.159999999999998</v>
      </c>
      <c r="AE108" s="58">
        <f>30*1.18*0.3</f>
        <v>10.62</v>
      </c>
      <c r="AF108" s="58">
        <f>30*1.18*0.3</f>
        <v>10.62</v>
      </c>
      <c r="AG108" s="58">
        <f>43*1.18*0.3</f>
        <v>15.221999999999998</v>
      </c>
      <c r="AH108" s="58">
        <f>40*1.18*0.3</f>
        <v>14.159999999999998</v>
      </c>
      <c r="AI108" s="60">
        <f t="shared" si="6"/>
        <v>64.781999999999996</v>
      </c>
      <c r="AL108" s="127" t="s">
        <v>638</v>
      </c>
    </row>
    <row r="109" spans="1:38" ht="66">
      <c r="A109" s="135">
        <v>100</v>
      </c>
      <c r="B109" s="39" t="s">
        <v>698</v>
      </c>
      <c r="C109" s="58">
        <v>0.5</v>
      </c>
      <c r="D109" s="58">
        <v>0.5</v>
      </c>
      <c r="E109" s="58">
        <v>0.5</v>
      </c>
      <c r="F109" s="58">
        <v>0.5</v>
      </c>
      <c r="G109" s="58">
        <v>0.5</v>
      </c>
      <c r="H109" s="58">
        <f t="shared" si="10"/>
        <v>2.5</v>
      </c>
      <c r="I109" s="59"/>
      <c r="J109" s="59"/>
      <c r="K109" s="59"/>
      <c r="L109" s="59"/>
      <c r="M109" s="59"/>
      <c r="N109" s="59"/>
      <c r="O109" s="58">
        <v>1202.06556</v>
      </c>
      <c r="P109" s="59"/>
      <c r="Q109" s="59"/>
      <c r="R109" s="59"/>
      <c r="S109" s="58">
        <v>0.5</v>
      </c>
      <c r="T109" s="58">
        <v>0.5</v>
      </c>
      <c r="U109" s="58">
        <v>0.5</v>
      </c>
      <c r="V109" s="58">
        <v>0.5</v>
      </c>
      <c r="W109" s="58">
        <v>0.5</v>
      </c>
      <c r="X109" s="58">
        <v>0.5</v>
      </c>
      <c r="Y109" s="58">
        <f t="shared" si="11"/>
        <v>2.5</v>
      </c>
      <c r="Z109" s="59"/>
      <c r="AA109" s="59"/>
      <c r="AB109" s="59"/>
      <c r="AC109" s="58">
        <f t="shared" ref="AC109:AH109" si="12">90*1.18*0.3</f>
        <v>31.859999999999996</v>
      </c>
      <c r="AD109" s="58">
        <f t="shared" si="12"/>
        <v>31.859999999999996</v>
      </c>
      <c r="AE109" s="58">
        <f t="shared" si="12"/>
        <v>31.859999999999996</v>
      </c>
      <c r="AF109" s="58">
        <f t="shared" si="12"/>
        <v>31.859999999999996</v>
      </c>
      <c r="AG109" s="58">
        <f t="shared" si="12"/>
        <v>31.859999999999996</v>
      </c>
      <c r="AH109" s="58">
        <f t="shared" si="12"/>
        <v>31.859999999999996</v>
      </c>
      <c r="AI109" s="60">
        <f t="shared" si="6"/>
        <v>159.29999999999998</v>
      </c>
      <c r="AL109" s="121" t="s">
        <v>698</v>
      </c>
    </row>
    <row r="110" spans="1:38" ht="49.5">
      <c r="A110" s="135">
        <v>101</v>
      </c>
      <c r="B110" s="39" t="s">
        <v>704</v>
      </c>
      <c r="C110" s="58">
        <v>10</v>
      </c>
      <c r="D110" s="58">
        <v>10</v>
      </c>
      <c r="E110" s="58">
        <v>10</v>
      </c>
      <c r="F110" s="58">
        <v>10</v>
      </c>
      <c r="G110" s="58">
        <v>10</v>
      </c>
      <c r="H110" s="58">
        <f t="shared" si="10"/>
        <v>50</v>
      </c>
      <c r="I110" s="59"/>
      <c r="J110" s="59"/>
      <c r="K110" s="59"/>
      <c r="L110" s="59"/>
      <c r="M110" s="59"/>
      <c r="N110" s="59"/>
      <c r="O110" s="58">
        <v>1290.2554599999999</v>
      </c>
      <c r="P110" s="59"/>
      <c r="Q110" s="59"/>
      <c r="R110" s="59"/>
      <c r="S110" s="58">
        <v>10</v>
      </c>
      <c r="T110" s="58">
        <v>10</v>
      </c>
      <c r="U110" s="58">
        <v>10</v>
      </c>
      <c r="V110" s="58">
        <v>10</v>
      </c>
      <c r="W110" s="58">
        <v>10</v>
      </c>
      <c r="X110" s="58">
        <v>10</v>
      </c>
      <c r="Y110" s="58">
        <f t="shared" si="11"/>
        <v>50</v>
      </c>
      <c r="Z110" s="59"/>
      <c r="AA110" s="59"/>
      <c r="AB110" s="59"/>
      <c r="AC110" s="58">
        <f t="shared" ref="AC110:AH110" si="13">110*1.18*0.3</f>
        <v>38.939999999999991</v>
      </c>
      <c r="AD110" s="58">
        <f t="shared" si="13"/>
        <v>38.939999999999991</v>
      </c>
      <c r="AE110" s="58">
        <f t="shared" si="13"/>
        <v>38.939999999999991</v>
      </c>
      <c r="AF110" s="58">
        <f t="shared" si="13"/>
        <v>38.939999999999991</v>
      </c>
      <c r="AG110" s="58">
        <f t="shared" si="13"/>
        <v>38.939999999999991</v>
      </c>
      <c r="AH110" s="58">
        <f t="shared" si="13"/>
        <v>38.939999999999991</v>
      </c>
      <c r="AI110" s="60">
        <f t="shared" si="6"/>
        <v>194.69999999999996</v>
      </c>
      <c r="AL110" s="121" t="s">
        <v>704</v>
      </c>
    </row>
    <row r="111" spans="1:38" ht="82.5">
      <c r="A111" s="135">
        <v>102</v>
      </c>
      <c r="B111" s="55" t="s">
        <v>639</v>
      </c>
      <c r="C111" s="58">
        <v>2.5</v>
      </c>
      <c r="D111" s="58">
        <v>2.5</v>
      </c>
      <c r="E111" s="58">
        <v>2.5</v>
      </c>
      <c r="F111" s="58">
        <v>2.5</v>
      </c>
      <c r="G111" s="58">
        <v>2.5</v>
      </c>
      <c r="H111" s="58">
        <f t="shared" si="10"/>
        <v>12.5</v>
      </c>
      <c r="I111" s="59"/>
      <c r="J111" s="59"/>
      <c r="K111" s="59"/>
      <c r="L111" s="59"/>
      <c r="M111" s="59"/>
      <c r="N111" s="59"/>
      <c r="O111" s="58">
        <v>817.07447999999999</v>
      </c>
      <c r="P111" s="59"/>
      <c r="Q111" s="59"/>
      <c r="R111" s="59"/>
      <c r="S111" s="58">
        <v>2.5</v>
      </c>
      <c r="T111" s="58">
        <v>2.5</v>
      </c>
      <c r="U111" s="58">
        <v>2.5</v>
      </c>
      <c r="V111" s="58">
        <v>2.5</v>
      </c>
      <c r="W111" s="58">
        <v>2.5</v>
      </c>
      <c r="X111" s="58">
        <v>2.5</v>
      </c>
      <c r="Y111" s="58">
        <f t="shared" si="11"/>
        <v>12.5</v>
      </c>
      <c r="Z111" s="59"/>
      <c r="AA111" s="59"/>
      <c r="AB111" s="59"/>
      <c r="AC111" s="58">
        <f t="shared" ref="AC111:AH112" si="14">25*1.18*0.3</f>
        <v>8.85</v>
      </c>
      <c r="AD111" s="58">
        <f t="shared" si="14"/>
        <v>8.85</v>
      </c>
      <c r="AE111" s="58">
        <f t="shared" si="14"/>
        <v>8.85</v>
      </c>
      <c r="AF111" s="58">
        <f t="shared" si="14"/>
        <v>8.85</v>
      </c>
      <c r="AG111" s="58">
        <f t="shared" si="14"/>
        <v>8.85</v>
      </c>
      <c r="AH111" s="58">
        <f t="shared" si="14"/>
        <v>8.85</v>
      </c>
      <c r="AI111" s="60">
        <f t="shared" si="6"/>
        <v>44.25</v>
      </c>
      <c r="AL111" s="127" t="s">
        <v>639</v>
      </c>
    </row>
    <row r="112" spans="1:38" ht="82.5">
      <c r="A112" s="135">
        <v>103</v>
      </c>
      <c r="B112" s="55" t="s">
        <v>640</v>
      </c>
      <c r="C112" s="58">
        <v>2.5</v>
      </c>
      <c r="D112" s="58">
        <v>2.5</v>
      </c>
      <c r="E112" s="58">
        <v>2.5</v>
      </c>
      <c r="F112" s="58">
        <v>2.5</v>
      </c>
      <c r="G112" s="58">
        <v>2.5</v>
      </c>
      <c r="H112" s="58">
        <f t="shared" si="10"/>
        <v>12.5</v>
      </c>
      <c r="I112" s="59"/>
      <c r="J112" s="59"/>
      <c r="K112" s="59"/>
      <c r="L112" s="59"/>
      <c r="M112" s="59"/>
      <c r="N112" s="59"/>
      <c r="O112" s="58">
        <v>336.55251999999996</v>
      </c>
      <c r="P112" s="59"/>
      <c r="Q112" s="59"/>
      <c r="R112" s="59"/>
      <c r="S112" s="58">
        <v>2.5</v>
      </c>
      <c r="T112" s="58">
        <v>2.5</v>
      </c>
      <c r="U112" s="58">
        <v>2.5</v>
      </c>
      <c r="V112" s="58">
        <v>2.5</v>
      </c>
      <c r="W112" s="58">
        <v>2.5</v>
      </c>
      <c r="X112" s="58">
        <v>2.5</v>
      </c>
      <c r="Y112" s="58">
        <f t="shared" si="11"/>
        <v>12.5</v>
      </c>
      <c r="Z112" s="59"/>
      <c r="AA112" s="59"/>
      <c r="AB112" s="59"/>
      <c r="AC112" s="58">
        <f t="shared" si="14"/>
        <v>8.85</v>
      </c>
      <c r="AD112" s="58">
        <f t="shared" si="14"/>
        <v>8.85</v>
      </c>
      <c r="AE112" s="58">
        <f t="shared" si="14"/>
        <v>8.85</v>
      </c>
      <c r="AF112" s="58">
        <f t="shared" si="14"/>
        <v>8.85</v>
      </c>
      <c r="AG112" s="58">
        <f t="shared" si="14"/>
        <v>8.85</v>
      </c>
      <c r="AH112" s="58">
        <f t="shared" si="14"/>
        <v>8.85</v>
      </c>
      <c r="AI112" s="60">
        <f t="shared" si="6"/>
        <v>44.25</v>
      </c>
      <c r="AL112" s="127" t="s">
        <v>640</v>
      </c>
    </row>
    <row r="113" spans="1:38" ht="33">
      <c r="A113" s="135">
        <v>104</v>
      </c>
      <c r="B113" s="32" t="s">
        <v>330</v>
      </c>
      <c r="C113" s="58"/>
      <c r="D113" s="58">
        <v>200</v>
      </c>
      <c r="E113" s="58"/>
      <c r="F113" s="58"/>
      <c r="G113" s="58"/>
      <c r="H113" s="58">
        <f>SUM(C113:G113)</f>
        <v>200</v>
      </c>
      <c r="I113" s="58"/>
      <c r="J113" s="58"/>
      <c r="K113" s="58"/>
      <c r="L113" s="58"/>
      <c r="M113" s="58"/>
      <c r="N113" s="58"/>
      <c r="O113" s="58">
        <v>210.19499999999999</v>
      </c>
      <c r="P113" s="58"/>
      <c r="Q113" s="58"/>
      <c r="R113" s="58"/>
      <c r="S113" s="58"/>
      <c r="T113" s="59"/>
      <c r="U113" s="58">
        <v>200</v>
      </c>
      <c r="V113" s="58"/>
      <c r="W113" s="58"/>
      <c r="X113" s="58"/>
      <c r="Y113" s="58">
        <f>SUM(T113:X113)</f>
        <v>200</v>
      </c>
      <c r="Z113" s="59">
        <v>10</v>
      </c>
      <c r="AA113" s="59">
        <v>20</v>
      </c>
      <c r="AB113" s="59">
        <v>30</v>
      </c>
      <c r="AC113" s="59">
        <v>45</v>
      </c>
      <c r="AD113" s="59">
        <v>105</v>
      </c>
      <c r="AE113" s="59">
        <v>40</v>
      </c>
      <c r="AF113" s="59"/>
      <c r="AG113" s="59"/>
      <c r="AH113" s="59"/>
      <c r="AI113" s="130">
        <f>AH113+AG113+AF113+AE113+AD113</f>
        <v>145</v>
      </c>
      <c r="AL113" s="116" t="s">
        <v>330</v>
      </c>
    </row>
    <row r="114" spans="1:38" ht="49.5">
      <c r="A114" s="135">
        <v>105</v>
      </c>
      <c r="B114" s="32" t="s">
        <v>332</v>
      </c>
      <c r="C114" s="58"/>
      <c r="D114" s="58">
        <v>76</v>
      </c>
      <c r="E114" s="58">
        <v>15</v>
      </c>
      <c r="F114" s="58">
        <v>15</v>
      </c>
      <c r="G114" s="58"/>
      <c r="H114" s="58">
        <f>SUM(C114:G114)</f>
        <v>106</v>
      </c>
      <c r="I114" s="58"/>
      <c r="J114" s="58"/>
      <c r="K114" s="58"/>
      <c r="L114" s="58"/>
      <c r="M114" s="58"/>
      <c r="N114" s="58"/>
      <c r="O114" s="58">
        <v>328</v>
      </c>
      <c r="P114" s="58"/>
      <c r="Q114" s="58"/>
      <c r="R114" s="58"/>
      <c r="S114" s="58"/>
      <c r="T114" s="58"/>
      <c r="U114" s="58">
        <v>76</v>
      </c>
      <c r="V114" s="58">
        <v>15</v>
      </c>
      <c r="W114" s="58">
        <v>15</v>
      </c>
      <c r="X114" s="58"/>
      <c r="Y114" s="58">
        <f t="shared" ref="Y114:Y149" si="15">SUM(T114:X114)</f>
        <v>106</v>
      </c>
      <c r="Z114" s="59"/>
      <c r="AA114" s="59"/>
      <c r="AB114" s="59"/>
      <c r="AC114" s="59"/>
      <c r="AD114" s="59"/>
      <c r="AE114" s="59">
        <v>60</v>
      </c>
      <c r="AF114" s="59">
        <v>80</v>
      </c>
      <c r="AG114" s="59">
        <v>80</v>
      </c>
      <c r="AH114" s="59"/>
      <c r="AI114" s="130">
        <f t="shared" ref="AI114:AI145" si="16">AH114+AG114+AF114+AE114+AD114</f>
        <v>220</v>
      </c>
      <c r="AL114" s="116" t="s">
        <v>332</v>
      </c>
    </row>
    <row r="115" spans="1:38" ht="49.5">
      <c r="A115" s="135">
        <v>106</v>
      </c>
      <c r="B115" s="32" t="s">
        <v>335</v>
      </c>
      <c r="C115" s="58"/>
      <c r="D115" s="58">
        <v>17.5</v>
      </c>
      <c r="E115" s="58"/>
      <c r="F115" s="58"/>
      <c r="G115" s="58"/>
      <c r="H115" s="58">
        <f>SUM(C115:G115)</f>
        <v>17.5</v>
      </c>
      <c r="I115" s="58"/>
      <c r="J115" s="58"/>
      <c r="K115" s="58"/>
      <c r="L115" s="58"/>
      <c r="M115" s="58"/>
      <c r="N115" s="58"/>
      <c r="O115" s="58">
        <v>128</v>
      </c>
      <c r="P115" s="58"/>
      <c r="Q115" s="58"/>
      <c r="R115" s="58"/>
      <c r="S115" s="58"/>
      <c r="T115" s="58"/>
      <c r="U115" s="58">
        <v>17.5</v>
      </c>
      <c r="V115" s="58"/>
      <c r="W115" s="58"/>
      <c r="X115" s="58"/>
      <c r="Y115" s="58">
        <f t="shared" si="15"/>
        <v>17.5</v>
      </c>
      <c r="Z115" s="59"/>
      <c r="AA115" s="59"/>
      <c r="AB115" s="59">
        <v>2</v>
      </c>
      <c r="AC115" s="59">
        <v>3</v>
      </c>
      <c r="AD115" s="59"/>
      <c r="AE115" s="59">
        <v>110</v>
      </c>
      <c r="AF115" s="59"/>
      <c r="AG115" s="59"/>
      <c r="AH115" s="59"/>
      <c r="AI115" s="130">
        <f t="shared" si="16"/>
        <v>110</v>
      </c>
      <c r="AL115" s="116" t="s">
        <v>335</v>
      </c>
    </row>
    <row r="116" spans="1:38" ht="33">
      <c r="A116" s="135">
        <v>107</v>
      </c>
      <c r="B116" s="32" t="s">
        <v>701</v>
      </c>
      <c r="C116" s="58"/>
      <c r="D116" s="58"/>
      <c r="E116" s="58"/>
      <c r="F116" s="58"/>
      <c r="G116" s="58"/>
      <c r="H116" s="58">
        <f t="shared" ref="H116:H149" si="17">SUM(C116:G116)</f>
        <v>0</v>
      </c>
      <c r="I116" s="58"/>
      <c r="J116" s="58"/>
      <c r="K116" s="58"/>
      <c r="L116" s="58"/>
      <c r="M116" s="58"/>
      <c r="N116" s="58"/>
      <c r="O116" s="58">
        <v>12.47</v>
      </c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9"/>
      <c r="AA116" s="59"/>
      <c r="AB116" s="59"/>
      <c r="AC116" s="59">
        <v>2</v>
      </c>
      <c r="AD116" s="59">
        <v>2</v>
      </c>
      <c r="AE116" s="59">
        <v>2</v>
      </c>
      <c r="AF116" s="59">
        <v>2</v>
      </c>
      <c r="AG116" s="59">
        <v>2</v>
      </c>
      <c r="AH116" s="59">
        <v>2</v>
      </c>
      <c r="AI116" s="130">
        <f t="shared" si="16"/>
        <v>10</v>
      </c>
      <c r="AL116" s="116" t="s">
        <v>701</v>
      </c>
    </row>
    <row r="117" spans="1:38" ht="33">
      <c r="A117" s="135">
        <v>108</v>
      </c>
      <c r="B117" s="32" t="s">
        <v>337</v>
      </c>
      <c r="C117" s="58"/>
      <c r="D117" s="58">
        <v>80</v>
      </c>
      <c r="E117" s="58"/>
      <c r="F117" s="58"/>
      <c r="G117" s="58"/>
      <c r="H117" s="58">
        <f t="shared" si="17"/>
        <v>80</v>
      </c>
      <c r="I117" s="58"/>
      <c r="J117" s="58"/>
      <c r="K117" s="58"/>
      <c r="L117" s="58"/>
      <c r="M117" s="58"/>
      <c r="N117" s="58"/>
      <c r="O117" s="58">
        <v>115</v>
      </c>
      <c r="P117" s="58"/>
      <c r="Q117" s="58"/>
      <c r="R117" s="58"/>
      <c r="S117" s="58"/>
      <c r="T117" s="58"/>
      <c r="U117" s="58">
        <v>80</v>
      </c>
      <c r="V117" s="58"/>
      <c r="W117" s="58"/>
      <c r="X117" s="58"/>
      <c r="Y117" s="58">
        <f t="shared" si="15"/>
        <v>80</v>
      </c>
      <c r="Z117" s="59"/>
      <c r="AA117" s="59"/>
      <c r="AB117" s="59"/>
      <c r="AC117" s="59"/>
      <c r="AD117" s="59"/>
      <c r="AE117" s="59">
        <v>65</v>
      </c>
      <c r="AF117" s="59">
        <v>45</v>
      </c>
      <c r="AG117" s="59"/>
      <c r="AH117" s="59"/>
      <c r="AI117" s="130">
        <f t="shared" si="16"/>
        <v>110</v>
      </c>
      <c r="AL117" s="116" t="s">
        <v>337</v>
      </c>
    </row>
    <row r="118" spans="1:38" ht="33">
      <c r="A118" s="135">
        <v>109</v>
      </c>
      <c r="B118" s="32" t="s">
        <v>702</v>
      </c>
      <c r="C118" s="58"/>
      <c r="D118" s="58"/>
      <c r="E118" s="58"/>
      <c r="F118" s="58"/>
      <c r="G118" s="58"/>
      <c r="H118" s="58">
        <f t="shared" si="17"/>
        <v>0</v>
      </c>
      <c r="I118" s="58"/>
      <c r="J118" s="58"/>
      <c r="K118" s="58"/>
      <c r="L118" s="58"/>
      <c r="M118" s="58"/>
      <c r="N118" s="58"/>
      <c r="O118" s="58">
        <v>110</v>
      </c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9"/>
      <c r="AA118" s="59">
        <v>5</v>
      </c>
      <c r="AB118" s="59">
        <v>10</v>
      </c>
      <c r="AC118" s="59">
        <v>7</v>
      </c>
      <c r="AD118" s="59">
        <v>22</v>
      </c>
      <c r="AE118" s="59">
        <v>22</v>
      </c>
      <c r="AF118" s="59">
        <v>22</v>
      </c>
      <c r="AG118" s="59">
        <v>22</v>
      </c>
      <c r="AH118" s="59">
        <v>22</v>
      </c>
      <c r="AI118" s="130">
        <f t="shared" si="16"/>
        <v>110</v>
      </c>
      <c r="AL118" s="116" t="s">
        <v>702</v>
      </c>
    </row>
    <row r="119" spans="1:38" ht="33">
      <c r="A119" s="135">
        <v>110</v>
      </c>
      <c r="B119" s="32" t="s">
        <v>339</v>
      </c>
      <c r="C119" s="58">
        <v>80</v>
      </c>
      <c r="D119" s="58"/>
      <c r="E119" s="58"/>
      <c r="F119" s="58"/>
      <c r="G119" s="58"/>
      <c r="H119" s="58">
        <f t="shared" si="17"/>
        <v>80</v>
      </c>
      <c r="I119" s="58"/>
      <c r="J119" s="58"/>
      <c r="K119" s="58"/>
      <c r="L119" s="58"/>
      <c r="M119" s="58"/>
      <c r="N119" s="58"/>
      <c r="O119" s="58">
        <v>60</v>
      </c>
      <c r="P119" s="58"/>
      <c r="Q119" s="58"/>
      <c r="R119" s="58"/>
      <c r="S119" s="58">
        <v>80</v>
      </c>
      <c r="T119" s="58">
        <v>80</v>
      </c>
      <c r="U119" s="58"/>
      <c r="V119" s="58"/>
      <c r="W119" s="58"/>
      <c r="X119" s="58"/>
      <c r="Y119" s="58">
        <f t="shared" si="15"/>
        <v>80</v>
      </c>
      <c r="Z119" s="59"/>
      <c r="AA119" s="59">
        <v>10</v>
      </c>
      <c r="AB119" s="59">
        <v>20</v>
      </c>
      <c r="AC119" s="59">
        <v>30</v>
      </c>
      <c r="AD119" s="59">
        <v>60</v>
      </c>
      <c r="AE119" s="59"/>
      <c r="AF119" s="59"/>
      <c r="AG119" s="59"/>
      <c r="AH119" s="59"/>
      <c r="AI119" s="130">
        <f t="shared" si="16"/>
        <v>60</v>
      </c>
      <c r="AL119" s="116" t="s">
        <v>339</v>
      </c>
    </row>
    <row r="120" spans="1:38" ht="49.5">
      <c r="A120" s="135">
        <v>111</v>
      </c>
      <c r="B120" s="32" t="s">
        <v>341</v>
      </c>
      <c r="C120" s="58"/>
      <c r="D120" s="58">
        <v>50</v>
      </c>
      <c r="E120" s="58"/>
      <c r="F120" s="58"/>
      <c r="G120" s="58"/>
      <c r="H120" s="58">
        <f t="shared" si="17"/>
        <v>50</v>
      </c>
      <c r="I120" s="58"/>
      <c r="J120" s="58"/>
      <c r="K120" s="58"/>
      <c r="L120" s="58"/>
      <c r="M120" s="58"/>
      <c r="N120" s="58"/>
      <c r="O120" s="58">
        <v>89</v>
      </c>
      <c r="P120" s="58"/>
      <c r="Q120" s="58"/>
      <c r="R120" s="58"/>
      <c r="S120" s="58"/>
      <c r="T120" s="58"/>
      <c r="U120" s="58">
        <v>50</v>
      </c>
      <c r="V120" s="58"/>
      <c r="W120" s="58"/>
      <c r="X120" s="58"/>
      <c r="Y120" s="58">
        <f t="shared" si="15"/>
        <v>50</v>
      </c>
      <c r="Z120" s="59"/>
      <c r="AA120" s="59"/>
      <c r="AB120" s="59">
        <v>9</v>
      </c>
      <c r="AC120" s="59"/>
      <c r="AD120" s="59"/>
      <c r="AE120" s="59">
        <v>89</v>
      </c>
      <c r="AF120" s="59"/>
      <c r="AG120" s="59"/>
      <c r="AH120" s="59"/>
      <c r="AI120" s="130">
        <f t="shared" si="16"/>
        <v>89</v>
      </c>
      <c r="AL120" s="116" t="s">
        <v>341</v>
      </c>
    </row>
    <row r="121" spans="1:38" ht="49.5">
      <c r="A121" s="135">
        <v>112</v>
      </c>
      <c r="B121" s="32" t="s">
        <v>343</v>
      </c>
      <c r="C121" s="58"/>
      <c r="D121" s="58"/>
      <c r="E121" s="58"/>
      <c r="F121" s="58">
        <v>32</v>
      </c>
      <c r="G121" s="58"/>
      <c r="H121" s="58">
        <f t="shared" si="17"/>
        <v>32</v>
      </c>
      <c r="I121" s="58"/>
      <c r="J121" s="58"/>
      <c r="K121" s="58"/>
      <c r="L121" s="58"/>
      <c r="M121" s="58"/>
      <c r="N121" s="58"/>
      <c r="O121" s="58">
        <v>80</v>
      </c>
      <c r="P121" s="58"/>
      <c r="Q121" s="58"/>
      <c r="R121" s="58"/>
      <c r="S121" s="58"/>
      <c r="T121" s="58"/>
      <c r="U121" s="58"/>
      <c r="V121" s="58"/>
      <c r="W121" s="58">
        <v>32</v>
      </c>
      <c r="X121" s="58"/>
      <c r="Y121" s="58">
        <f t="shared" si="15"/>
        <v>32</v>
      </c>
      <c r="Z121" s="59"/>
      <c r="AA121" s="59"/>
      <c r="AB121" s="59"/>
      <c r="AC121" s="59"/>
      <c r="AD121" s="59"/>
      <c r="AE121" s="59"/>
      <c r="AF121" s="59">
        <v>6</v>
      </c>
      <c r="AG121" s="59">
        <v>74</v>
      </c>
      <c r="AH121" s="59"/>
      <c r="AI121" s="130">
        <f t="shared" si="16"/>
        <v>80</v>
      </c>
      <c r="AL121" s="116" t="s">
        <v>343</v>
      </c>
    </row>
    <row r="122" spans="1:38" ht="49.5">
      <c r="A122" s="135">
        <v>113</v>
      </c>
      <c r="B122" s="32" t="s">
        <v>345</v>
      </c>
      <c r="C122" s="58"/>
      <c r="D122" s="58">
        <v>126</v>
      </c>
      <c r="E122" s="58"/>
      <c r="F122" s="58"/>
      <c r="G122" s="58"/>
      <c r="H122" s="58">
        <f t="shared" si="17"/>
        <v>126</v>
      </c>
      <c r="I122" s="58"/>
      <c r="J122" s="58"/>
      <c r="K122" s="58"/>
      <c r="L122" s="58"/>
      <c r="M122" s="58"/>
      <c r="N122" s="58"/>
      <c r="O122" s="58">
        <v>32</v>
      </c>
      <c r="P122" s="58"/>
      <c r="Q122" s="58"/>
      <c r="R122" s="58"/>
      <c r="S122" s="58"/>
      <c r="T122" s="58"/>
      <c r="U122" s="58">
        <v>126</v>
      </c>
      <c r="V122" s="58"/>
      <c r="W122" s="58"/>
      <c r="X122" s="58"/>
      <c r="Y122" s="58">
        <f t="shared" si="15"/>
        <v>126</v>
      </c>
      <c r="Z122" s="59"/>
      <c r="AA122" s="59"/>
      <c r="AB122" s="59"/>
      <c r="AC122" s="59"/>
      <c r="AD122" s="59"/>
      <c r="AE122" s="59">
        <v>32</v>
      </c>
      <c r="AF122" s="59"/>
      <c r="AG122" s="59"/>
      <c r="AH122" s="59"/>
      <c r="AI122" s="130">
        <f t="shared" si="16"/>
        <v>32</v>
      </c>
      <c r="AL122" s="116" t="s">
        <v>345</v>
      </c>
    </row>
    <row r="123" spans="1:38" ht="16.5">
      <c r="A123" s="135">
        <v>114</v>
      </c>
      <c r="B123" s="32" t="s">
        <v>347</v>
      </c>
      <c r="C123" s="58"/>
      <c r="D123" s="58">
        <v>40</v>
      </c>
      <c r="E123" s="58"/>
      <c r="F123" s="58"/>
      <c r="G123" s="58"/>
      <c r="H123" s="58">
        <f t="shared" si="17"/>
        <v>40</v>
      </c>
      <c r="I123" s="58"/>
      <c r="J123" s="58"/>
      <c r="K123" s="58"/>
      <c r="L123" s="58"/>
      <c r="M123" s="58"/>
      <c r="N123" s="58"/>
      <c r="O123" s="58">
        <v>58</v>
      </c>
      <c r="P123" s="58"/>
      <c r="Q123" s="58"/>
      <c r="R123" s="58"/>
      <c r="S123" s="58"/>
      <c r="T123" s="58"/>
      <c r="U123" s="58">
        <v>40</v>
      </c>
      <c r="V123" s="59"/>
      <c r="W123" s="58"/>
      <c r="X123" s="58"/>
      <c r="Y123" s="58">
        <f t="shared" si="15"/>
        <v>40</v>
      </c>
      <c r="Z123" s="59"/>
      <c r="AA123" s="59"/>
      <c r="AB123" s="59"/>
      <c r="AC123" s="59"/>
      <c r="AD123" s="59"/>
      <c r="AE123" s="59"/>
      <c r="AF123" s="59">
        <v>58</v>
      </c>
      <c r="AG123" s="59"/>
      <c r="AH123" s="59"/>
      <c r="AI123" s="130">
        <f t="shared" si="16"/>
        <v>58</v>
      </c>
      <c r="AL123" s="116" t="s">
        <v>347</v>
      </c>
    </row>
    <row r="124" spans="1:38" ht="33">
      <c r="A124" s="135">
        <v>115</v>
      </c>
      <c r="B124" s="32" t="s">
        <v>351</v>
      </c>
      <c r="C124" s="58"/>
      <c r="D124" s="58">
        <v>126</v>
      </c>
      <c r="E124" s="58"/>
      <c r="F124" s="58"/>
      <c r="G124" s="58"/>
      <c r="H124" s="58">
        <f t="shared" si="17"/>
        <v>126</v>
      </c>
      <c r="I124" s="58"/>
      <c r="J124" s="58"/>
      <c r="K124" s="58"/>
      <c r="L124" s="58"/>
      <c r="M124" s="58"/>
      <c r="N124" s="58"/>
      <c r="O124" s="58">
        <v>200.5</v>
      </c>
      <c r="P124" s="58"/>
      <c r="Q124" s="58"/>
      <c r="R124" s="58"/>
      <c r="S124" s="58"/>
      <c r="T124" s="58"/>
      <c r="U124" s="58">
        <v>126</v>
      </c>
      <c r="V124" s="58"/>
      <c r="W124" s="58"/>
      <c r="X124" s="58"/>
      <c r="Y124" s="58">
        <f t="shared" si="15"/>
        <v>126</v>
      </c>
      <c r="Z124" s="59"/>
      <c r="AA124" s="59">
        <v>20</v>
      </c>
      <c r="AB124" s="59">
        <v>30</v>
      </c>
      <c r="AC124" s="59">
        <v>71</v>
      </c>
      <c r="AD124" s="59">
        <v>121</v>
      </c>
      <c r="AE124" s="59">
        <v>100</v>
      </c>
      <c r="AF124" s="59"/>
      <c r="AG124" s="59"/>
      <c r="AH124" s="59"/>
      <c r="AI124" s="130">
        <f t="shared" si="16"/>
        <v>221</v>
      </c>
      <c r="AL124" s="116" t="s">
        <v>351</v>
      </c>
    </row>
    <row r="125" spans="1:38" ht="16.5">
      <c r="A125" s="135">
        <v>116</v>
      </c>
      <c r="B125" s="32" t="s">
        <v>352</v>
      </c>
      <c r="C125" s="58"/>
      <c r="D125" s="58"/>
      <c r="E125" s="58"/>
      <c r="F125" s="58"/>
      <c r="G125" s="58"/>
      <c r="H125" s="58">
        <f t="shared" si="17"/>
        <v>0</v>
      </c>
      <c r="I125" s="58"/>
      <c r="J125" s="58"/>
      <c r="K125" s="58"/>
      <c r="L125" s="58"/>
      <c r="M125" s="58"/>
      <c r="N125" s="58"/>
      <c r="O125" s="58">
        <v>47</v>
      </c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9"/>
      <c r="AA125" s="59">
        <v>18.8</v>
      </c>
      <c r="AB125" s="59">
        <v>18.8</v>
      </c>
      <c r="AC125" s="59">
        <v>9.4</v>
      </c>
      <c r="AD125" s="59">
        <v>47</v>
      </c>
      <c r="AE125" s="59"/>
      <c r="AF125" s="59"/>
      <c r="AG125" s="59"/>
      <c r="AH125" s="59"/>
      <c r="AI125" s="130">
        <f t="shared" si="16"/>
        <v>47</v>
      </c>
      <c r="AL125" s="116" t="s">
        <v>352</v>
      </c>
    </row>
    <row r="126" spans="1:38" ht="16.5">
      <c r="A126" s="135">
        <v>117</v>
      </c>
      <c r="B126" s="32" t="s">
        <v>353</v>
      </c>
      <c r="C126" s="58"/>
      <c r="D126" s="58">
        <v>63</v>
      </c>
      <c r="E126" s="58">
        <v>63</v>
      </c>
      <c r="F126" s="58"/>
      <c r="G126" s="58"/>
      <c r="H126" s="58">
        <f t="shared" si="17"/>
        <v>126</v>
      </c>
      <c r="I126" s="58"/>
      <c r="J126" s="58"/>
      <c r="K126" s="58"/>
      <c r="L126" s="58"/>
      <c r="M126" s="58"/>
      <c r="N126" s="58"/>
      <c r="O126" s="58">
        <v>144</v>
      </c>
      <c r="P126" s="58"/>
      <c r="Q126" s="58"/>
      <c r="R126" s="58"/>
      <c r="S126" s="58"/>
      <c r="T126" s="58"/>
      <c r="U126" s="58">
        <v>63</v>
      </c>
      <c r="V126" s="58">
        <v>63</v>
      </c>
      <c r="W126" s="58"/>
      <c r="X126" s="58"/>
      <c r="Y126" s="58">
        <f t="shared" si="15"/>
        <v>126</v>
      </c>
      <c r="Z126" s="59"/>
      <c r="AA126" s="59"/>
      <c r="AB126" s="59">
        <v>2</v>
      </c>
      <c r="AC126" s="59">
        <v>2</v>
      </c>
      <c r="AD126" s="59"/>
      <c r="AE126" s="59">
        <v>84</v>
      </c>
      <c r="AF126" s="59">
        <v>60</v>
      </c>
      <c r="AG126" s="59"/>
      <c r="AH126" s="59"/>
      <c r="AI126" s="130">
        <f t="shared" si="16"/>
        <v>144</v>
      </c>
      <c r="AL126" s="116" t="s">
        <v>353</v>
      </c>
    </row>
    <row r="127" spans="1:38" ht="33">
      <c r="A127" s="135">
        <v>118</v>
      </c>
      <c r="B127" s="32" t="s">
        <v>354</v>
      </c>
      <c r="C127" s="58"/>
      <c r="D127" s="58"/>
      <c r="E127" s="58"/>
      <c r="F127" s="58"/>
      <c r="G127" s="58"/>
      <c r="H127" s="58">
        <f t="shared" si="17"/>
        <v>0</v>
      </c>
      <c r="I127" s="58"/>
      <c r="J127" s="58"/>
      <c r="K127" s="58"/>
      <c r="L127" s="58"/>
      <c r="M127" s="58"/>
      <c r="N127" s="58"/>
      <c r="O127" s="58">
        <v>400</v>
      </c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9"/>
      <c r="AA127" s="59">
        <v>50</v>
      </c>
      <c r="AB127" s="59">
        <v>50</v>
      </c>
      <c r="AC127" s="59">
        <v>100</v>
      </c>
      <c r="AD127" s="59">
        <v>200</v>
      </c>
      <c r="AE127" s="59">
        <v>200</v>
      </c>
      <c r="AF127" s="59"/>
      <c r="AG127" s="59"/>
      <c r="AH127" s="59"/>
      <c r="AI127" s="130">
        <f t="shared" si="16"/>
        <v>400</v>
      </c>
      <c r="AL127" s="116" t="s">
        <v>354</v>
      </c>
    </row>
    <row r="128" spans="1:38" ht="33">
      <c r="A128" s="135">
        <v>119</v>
      </c>
      <c r="B128" s="32" t="s">
        <v>357</v>
      </c>
      <c r="C128" s="58"/>
      <c r="D128" s="58"/>
      <c r="E128" s="58"/>
      <c r="F128" s="58"/>
      <c r="G128" s="58"/>
      <c r="H128" s="58">
        <f t="shared" si="17"/>
        <v>0</v>
      </c>
      <c r="I128" s="58"/>
      <c r="J128" s="58"/>
      <c r="K128" s="58"/>
      <c r="L128" s="58"/>
      <c r="M128" s="58"/>
      <c r="N128" s="58"/>
      <c r="O128" s="58">
        <v>190</v>
      </c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9"/>
      <c r="AA128" s="59">
        <v>12</v>
      </c>
      <c r="AB128" s="59">
        <v>12</v>
      </c>
      <c r="AC128" s="59">
        <v>14</v>
      </c>
      <c r="AD128" s="59">
        <v>38</v>
      </c>
      <c r="AE128" s="59">
        <v>38</v>
      </c>
      <c r="AF128" s="59">
        <v>38</v>
      </c>
      <c r="AG128" s="59">
        <v>38</v>
      </c>
      <c r="AH128" s="59">
        <v>38</v>
      </c>
      <c r="AI128" s="130">
        <f t="shared" si="16"/>
        <v>190</v>
      </c>
      <c r="AL128" s="116" t="s">
        <v>357</v>
      </c>
    </row>
    <row r="129" spans="1:38" ht="16.5">
      <c r="A129" s="135">
        <v>120</v>
      </c>
      <c r="B129" s="32" t="s">
        <v>358</v>
      </c>
      <c r="C129" s="58"/>
      <c r="D129" s="58">
        <v>20</v>
      </c>
      <c r="E129" s="58"/>
      <c r="F129" s="58"/>
      <c r="G129" s="58"/>
      <c r="H129" s="58">
        <f t="shared" si="17"/>
        <v>20</v>
      </c>
      <c r="I129" s="58"/>
      <c r="J129" s="58"/>
      <c r="K129" s="58"/>
      <c r="L129" s="58"/>
      <c r="M129" s="58"/>
      <c r="N129" s="58"/>
      <c r="O129" s="58">
        <v>90</v>
      </c>
      <c r="P129" s="58"/>
      <c r="Q129" s="58"/>
      <c r="R129" s="58"/>
      <c r="S129" s="58"/>
      <c r="T129" s="58"/>
      <c r="U129" s="58">
        <v>20</v>
      </c>
      <c r="V129" s="58"/>
      <c r="W129" s="58"/>
      <c r="X129" s="58"/>
      <c r="Y129" s="58">
        <f t="shared" si="15"/>
        <v>20</v>
      </c>
      <c r="Z129" s="59"/>
      <c r="AA129" s="59"/>
      <c r="AB129" s="59"/>
      <c r="AC129" s="59"/>
      <c r="AD129" s="59"/>
      <c r="AE129" s="59">
        <v>90</v>
      </c>
      <c r="AF129" s="59"/>
      <c r="AG129" s="59"/>
      <c r="AH129" s="59"/>
      <c r="AI129" s="130">
        <f t="shared" si="16"/>
        <v>90</v>
      </c>
      <c r="AL129" s="116" t="s">
        <v>358</v>
      </c>
    </row>
    <row r="130" spans="1:38" ht="16.5">
      <c r="A130" s="135">
        <v>121</v>
      </c>
      <c r="B130" s="32" t="s">
        <v>360</v>
      </c>
      <c r="C130" s="58"/>
      <c r="D130" s="58"/>
      <c r="E130" s="58"/>
      <c r="F130" s="58"/>
      <c r="G130" s="58">
        <v>80</v>
      </c>
      <c r="H130" s="58">
        <f t="shared" si="17"/>
        <v>80</v>
      </c>
      <c r="I130" s="58"/>
      <c r="J130" s="58"/>
      <c r="K130" s="58"/>
      <c r="L130" s="58"/>
      <c r="M130" s="58"/>
      <c r="N130" s="58"/>
      <c r="O130" s="58">
        <v>263</v>
      </c>
      <c r="P130" s="58"/>
      <c r="Q130" s="58"/>
      <c r="R130" s="58"/>
      <c r="S130" s="58"/>
      <c r="T130" s="58"/>
      <c r="U130" s="58"/>
      <c r="V130" s="58"/>
      <c r="W130" s="58"/>
      <c r="X130" s="58">
        <v>80</v>
      </c>
      <c r="Y130" s="58">
        <f t="shared" si="15"/>
        <v>80</v>
      </c>
      <c r="Z130" s="59"/>
      <c r="AA130" s="59"/>
      <c r="AB130" s="59"/>
      <c r="AC130" s="59"/>
      <c r="AD130" s="59"/>
      <c r="AE130" s="59"/>
      <c r="AF130" s="59">
        <v>16</v>
      </c>
      <c r="AG130" s="59">
        <v>162</v>
      </c>
      <c r="AH130" s="59">
        <v>85</v>
      </c>
      <c r="AI130" s="130">
        <f t="shared" si="16"/>
        <v>263</v>
      </c>
      <c r="AL130" s="116" t="s">
        <v>360</v>
      </c>
    </row>
    <row r="131" spans="1:38" ht="49.5">
      <c r="A131" s="135">
        <v>122</v>
      </c>
      <c r="B131" s="32" t="s">
        <v>363</v>
      </c>
      <c r="C131" s="58"/>
      <c r="D131" s="58"/>
      <c r="E131" s="58"/>
      <c r="F131" s="58"/>
      <c r="G131" s="58"/>
      <c r="H131" s="58">
        <f t="shared" si="17"/>
        <v>0</v>
      </c>
      <c r="I131" s="58"/>
      <c r="J131" s="58"/>
      <c r="K131" s="58"/>
      <c r="L131" s="58"/>
      <c r="M131" s="58"/>
      <c r="N131" s="58"/>
      <c r="O131" s="58">
        <v>130</v>
      </c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9"/>
      <c r="AA131" s="59"/>
      <c r="AB131" s="59"/>
      <c r="AC131" s="59"/>
      <c r="AD131" s="59"/>
      <c r="AE131" s="59"/>
      <c r="AF131" s="59"/>
      <c r="AG131" s="59">
        <v>130</v>
      </c>
      <c r="AH131" s="59"/>
      <c r="AI131" s="130">
        <f t="shared" si="16"/>
        <v>130</v>
      </c>
      <c r="AL131" s="116" t="s">
        <v>363</v>
      </c>
    </row>
    <row r="132" spans="1:38" ht="49.5">
      <c r="A132" s="135">
        <v>123</v>
      </c>
      <c r="B132" s="32" t="s">
        <v>365</v>
      </c>
      <c r="C132" s="58"/>
      <c r="D132" s="58"/>
      <c r="E132" s="58"/>
      <c r="F132" s="58"/>
      <c r="G132" s="58"/>
      <c r="H132" s="58">
        <f t="shared" si="17"/>
        <v>0</v>
      </c>
      <c r="I132" s="58"/>
      <c r="J132" s="58"/>
      <c r="K132" s="58"/>
      <c r="L132" s="58"/>
      <c r="M132" s="58"/>
      <c r="N132" s="58"/>
      <c r="O132" s="58">
        <v>13</v>
      </c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9"/>
      <c r="AA132" s="59"/>
      <c r="AB132" s="59"/>
      <c r="AC132" s="59">
        <v>5</v>
      </c>
      <c r="AD132" s="59"/>
      <c r="AE132" s="59">
        <v>13</v>
      </c>
      <c r="AF132" s="59"/>
      <c r="AG132" s="59"/>
      <c r="AH132" s="59"/>
      <c r="AI132" s="130">
        <f t="shared" si="16"/>
        <v>13</v>
      </c>
      <c r="AL132" s="116" t="s">
        <v>365</v>
      </c>
    </row>
    <row r="133" spans="1:38" ht="33">
      <c r="A133" s="135">
        <v>124</v>
      </c>
      <c r="B133" s="32" t="s">
        <v>649</v>
      </c>
      <c r="C133" s="58"/>
      <c r="D133" s="58"/>
      <c r="E133" s="58"/>
      <c r="F133" s="58"/>
      <c r="G133" s="58"/>
      <c r="H133" s="58">
        <f t="shared" si="17"/>
        <v>0</v>
      </c>
      <c r="I133" s="58"/>
      <c r="J133" s="58"/>
      <c r="K133" s="58"/>
      <c r="L133" s="58"/>
      <c r="M133" s="58"/>
      <c r="N133" s="58"/>
      <c r="O133" s="58">
        <v>32.5</v>
      </c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9"/>
      <c r="AA133" s="59">
        <v>2</v>
      </c>
      <c r="AB133" s="59">
        <v>3</v>
      </c>
      <c r="AC133" s="59">
        <v>1.5</v>
      </c>
      <c r="AD133" s="59">
        <v>6.5</v>
      </c>
      <c r="AE133" s="59">
        <v>6.5</v>
      </c>
      <c r="AF133" s="59">
        <v>6.5</v>
      </c>
      <c r="AG133" s="59">
        <v>6.5</v>
      </c>
      <c r="AH133" s="59">
        <v>6.5</v>
      </c>
      <c r="AI133" s="130">
        <f t="shared" si="16"/>
        <v>32.5</v>
      </c>
      <c r="AL133" s="116" t="s">
        <v>649</v>
      </c>
    </row>
    <row r="134" spans="1:38" ht="33">
      <c r="A134" s="135">
        <v>125</v>
      </c>
      <c r="B134" s="32" t="s">
        <v>604</v>
      </c>
      <c r="C134" s="58"/>
      <c r="D134" s="58"/>
      <c r="E134" s="58"/>
      <c r="F134" s="58"/>
      <c r="G134" s="58"/>
      <c r="H134" s="58">
        <f t="shared" si="17"/>
        <v>0</v>
      </c>
      <c r="I134" s="58"/>
      <c r="J134" s="58"/>
      <c r="K134" s="58"/>
      <c r="L134" s="58"/>
      <c r="M134" s="58"/>
      <c r="N134" s="58"/>
      <c r="O134" s="58">
        <v>46.93</v>
      </c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9"/>
      <c r="AA134" s="59">
        <v>4</v>
      </c>
      <c r="AB134" s="59">
        <v>2.5</v>
      </c>
      <c r="AC134" s="59"/>
      <c r="AD134" s="59">
        <v>6.5</v>
      </c>
      <c r="AE134" s="59">
        <v>6.5</v>
      </c>
      <c r="AF134" s="59">
        <v>6.5</v>
      </c>
      <c r="AG134" s="59">
        <v>6.5</v>
      </c>
      <c r="AH134" s="59">
        <v>6.5</v>
      </c>
      <c r="AI134" s="130">
        <f t="shared" si="16"/>
        <v>32.5</v>
      </c>
      <c r="AL134" s="116" t="s">
        <v>604</v>
      </c>
    </row>
    <row r="135" spans="1:38" ht="33">
      <c r="A135" s="135">
        <v>126</v>
      </c>
      <c r="B135" s="32" t="s">
        <v>368</v>
      </c>
      <c r="C135" s="58"/>
      <c r="D135" s="58"/>
      <c r="E135" s="58"/>
      <c r="F135" s="58"/>
      <c r="G135" s="58"/>
      <c r="H135" s="58">
        <f t="shared" si="17"/>
        <v>0</v>
      </c>
      <c r="I135" s="58"/>
      <c r="J135" s="58"/>
      <c r="K135" s="58"/>
      <c r="L135" s="58"/>
      <c r="M135" s="58"/>
      <c r="N135" s="58"/>
      <c r="O135" s="58">
        <v>32.5</v>
      </c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9"/>
      <c r="AA135" s="59">
        <v>3</v>
      </c>
      <c r="AB135" s="59">
        <v>2</v>
      </c>
      <c r="AC135" s="59">
        <v>1.5</v>
      </c>
      <c r="AD135" s="59">
        <v>6.5</v>
      </c>
      <c r="AE135" s="59">
        <v>6.5</v>
      </c>
      <c r="AF135" s="59">
        <v>6.5</v>
      </c>
      <c r="AG135" s="59">
        <v>6.5</v>
      </c>
      <c r="AH135" s="59">
        <v>6.5</v>
      </c>
      <c r="AI135" s="130">
        <f t="shared" si="16"/>
        <v>32.5</v>
      </c>
      <c r="AL135" s="116" t="s">
        <v>368</v>
      </c>
    </row>
    <row r="136" spans="1:38" ht="16.5">
      <c r="A136" s="135">
        <v>127</v>
      </c>
      <c r="B136" s="32" t="s">
        <v>708</v>
      </c>
      <c r="C136" s="58"/>
      <c r="D136" s="58"/>
      <c r="E136" s="58"/>
      <c r="F136" s="58"/>
      <c r="G136" s="58"/>
      <c r="H136" s="58">
        <f t="shared" si="17"/>
        <v>0</v>
      </c>
      <c r="I136" s="58"/>
      <c r="J136" s="58"/>
      <c r="K136" s="58"/>
      <c r="L136" s="58"/>
      <c r="M136" s="58"/>
      <c r="N136" s="58"/>
      <c r="O136" s="58">
        <v>85</v>
      </c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9"/>
      <c r="AA136" s="59"/>
      <c r="AB136" s="59"/>
      <c r="AC136" s="59">
        <v>17</v>
      </c>
      <c r="AD136" s="59">
        <v>17</v>
      </c>
      <c r="AE136" s="59">
        <v>17</v>
      </c>
      <c r="AF136" s="59">
        <v>17</v>
      </c>
      <c r="AG136" s="59">
        <v>17</v>
      </c>
      <c r="AH136" s="59">
        <v>17</v>
      </c>
      <c r="AI136" s="130">
        <f t="shared" si="16"/>
        <v>85</v>
      </c>
      <c r="AL136" s="116" t="s">
        <v>708</v>
      </c>
    </row>
    <row r="137" spans="1:38" ht="33">
      <c r="A137" s="135">
        <v>128</v>
      </c>
      <c r="B137" s="32" t="s">
        <v>370</v>
      </c>
      <c r="C137" s="58"/>
      <c r="D137" s="58"/>
      <c r="E137" s="58"/>
      <c r="F137" s="58"/>
      <c r="G137" s="58"/>
      <c r="H137" s="58">
        <f t="shared" si="17"/>
        <v>0</v>
      </c>
      <c r="I137" s="58"/>
      <c r="J137" s="58"/>
      <c r="K137" s="58"/>
      <c r="L137" s="58"/>
      <c r="M137" s="58"/>
      <c r="N137" s="58"/>
      <c r="O137" s="58">
        <v>120</v>
      </c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9"/>
      <c r="AA137" s="59"/>
      <c r="AB137" s="59"/>
      <c r="AC137" s="59">
        <v>40</v>
      </c>
      <c r="AD137" s="59">
        <v>40</v>
      </c>
      <c r="AE137" s="59">
        <v>40</v>
      </c>
      <c r="AF137" s="59"/>
      <c r="AG137" s="59"/>
      <c r="AH137" s="59"/>
      <c r="AI137" s="130">
        <f t="shared" si="16"/>
        <v>80</v>
      </c>
      <c r="AL137" s="116" t="s">
        <v>370</v>
      </c>
    </row>
    <row r="138" spans="1:38" ht="16.5">
      <c r="A138" s="135">
        <v>129</v>
      </c>
      <c r="B138" s="32" t="s">
        <v>371</v>
      </c>
      <c r="C138" s="58"/>
      <c r="D138" s="58">
        <v>50</v>
      </c>
      <c r="E138" s="58"/>
      <c r="F138" s="58"/>
      <c r="G138" s="58"/>
      <c r="H138" s="58">
        <f t="shared" si="17"/>
        <v>50</v>
      </c>
      <c r="I138" s="58"/>
      <c r="J138" s="58"/>
      <c r="K138" s="58"/>
      <c r="L138" s="58"/>
      <c r="M138" s="58"/>
      <c r="N138" s="58"/>
      <c r="O138" s="58">
        <v>333.5</v>
      </c>
      <c r="P138" s="58"/>
      <c r="Q138" s="58"/>
      <c r="R138" s="58"/>
      <c r="S138" s="58"/>
      <c r="T138" s="58"/>
      <c r="U138" s="58">
        <v>50</v>
      </c>
      <c r="V138" s="58"/>
      <c r="W138" s="58"/>
      <c r="X138" s="58"/>
      <c r="Y138" s="58">
        <f t="shared" si="15"/>
        <v>50</v>
      </c>
      <c r="Z138" s="59">
        <v>7</v>
      </c>
      <c r="AA138" s="59">
        <v>25</v>
      </c>
      <c r="AB138" s="59">
        <v>20</v>
      </c>
      <c r="AC138" s="59">
        <v>20</v>
      </c>
      <c r="AD138" s="59">
        <v>72</v>
      </c>
      <c r="AE138" s="59">
        <v>196</v>
      </c>
      <c r="AF138" s="59"/>
      <c r="AG138" s="59"/>
      <c r="AH138" s="59"/>
      <c r="AI138" s="130">
        <f t="shared" si="16"/>
        <v>268</v>
      </c>
      <c r="AL138" s="116" t="s">
        <v>371</v>
      </c>
    </row>
    <row r="139" spans="1:38" ht="16.5">
      <c r="A139" s="135">
        <v>130</v>
      </c>
      <c r="B139" s="32" t="s">
        <v>372</v>
      </c>
      <c r="C139" s="58"/>
      <c r="D139" s="58">
        <v>50</v>
      </c>
      <c r="E139" s="58"/>
      <c r="F139" s="58"/>
      <c r="G139" s="58"/>
      <c r="H139" s="58">
        <f t="shared" si="17"/>
        <v>50</v>
      </c>
      <c r="I139" s="58"/>
      <c r="J139" s="58"/>
      <c r="K139" s="58"/>
      <c r="L139" s="58"/>
      <c r="M139" s="58"/>
      <c r="N139" s="58"/>
      <c r="O139" s="58">
        <v>355.5</v>
      </c>
      <c r="P139" s="58"/>
      <c r="Q139" s="58"/>
      <c r="R139" s="58"/>
      <c r="S139" s="58"/>
      <c r="T139" s="58"/>
      <c r="U139" s="58">
        <v>50</v>
      </c>
      <c r="V139" s="58"/>
      <c r="W139" s="58"/>
      <c r="X139" s="58"/>
      <c r="Y139" s="58">
        <f t="shared" si="15"/>
        <v>50</v>
      </c>
      <c r="Z139" s="59">
        <v>50</v>
      </c>
      <c r="AA139" s="59">
        <v>70</v>
      </c>
      <c r="AB139" s="59">
        <v>60</v>
      </c>
      <c r="AC139" s="59">
        <v>21</v>
      </c>
      <c r="AD139" s="59">
        <v>201</v>
      </c>
      <c r="AE139" s="59">
        <v>79</v>
      </c>
      <c r="AF139" s="59"/>
      <c r="AG139" s="59"/>
      <c r="AH139" s="59"/>
      <c r="AI139" s="130">
        <f t="shared" si="16"/>
        <v>280</v>
      </c>
      <c r="AL139" s="116" t="s">
        <v>372</v>
      </c>
    </row>
    <row r="140" spans="1:38" ht="33">
      <c r="A140" s="135">
        <v>131</v>
      </c>
      <c r="B140" s="32" t="s">
        <v>373</v>
      </c>
      <c r="C140" s="58">
        <v>500</v>
      </c>
      <c r="D140" s="58"/>
      <c r="E140" s="58"/>
      <c r="F140" s="58"/>
      <c r="G140" s="58"/>
      <c r="H140" s="58">
        <f t="shared" si="17"/>
        <v>500</v>
      </c>
      <c r="I140" s="58"/>
      <c r="J140" s="58"/>
      <c r="K140" s="58"/>
      <c r="L140" s="58"/>
      <c r="M140" s="58"/>
      <c r="N140" s="58"/>
      <c r="O140" s="58">
        <v>841.42499999999995</v>
      </c>
      <c r="P140" s="58"/>
      <c r="Q140" s="58"/>
      <c r="R140" s="58"/>
      <c r="S140" s="58">
        <v>500</v>
      </c>
      <c r="T140" s="58">
        <v>500</v>
      </c>
      <c r="U140" s="58"/>
      <c r="V140" s="58"/>
      <c r="W140" s="58"/>
      <c r="X140" s="58"/>
      <c r="Y140" s="58">
        <f t="shared" si="15"/>
        <v>500</v>
      </c>
      <c r="Z140" s="59">
        <v>48</v>
      </c>
      <c r="AA140" s="59">
        <v>80</v>
      </c>
      <c r="AB140" s="59">
        <v>100</v>
      </c>
      <c r="AC140" s="59">
        <v>20</v>
      </c>
      <c r="AD140" s="59">
        <v>248</v>
      </c>
      <c r="AE140" s="59"/>
      <c r="AF140" s="59"/>
      <c r="AG140" s="59"/>
      <c r="AH140" s="59"/>
      <c r="AI140" s="130">
        <f t="shared" si="16"/>
        <v>248</v>
      </c>
      <c r="AL140" s="116" t="s">
        <v>373</v>
      </c>
    </row>
    <row r="141" spans="1:38" ht="33">
      <c r="A141" s="135">
        <v>132</v>
      </c>
      <c r="B141" s="32" t="s">
        <v>374</v>
      </c>
      <c r="C141" s="58"/>
      <c r="D141" s="58"/>
      <c r="E141" s="58"/>
      <c r="F141" s="58"/>
      <c r="G141" s="58">
        <v>8</v>
      </c>
      <c r="H141" s="58">
        <f t="shared" si="17"/>
        <v>8</v>
      </c>
      <c r="I141" s="58"/>
      <c r="J141" s="58"/>
      <c r="K141" s="58"/>
      <c r="L141" s="58"/>
      <c r="M141" s="58"/>
      <c r="N141" s="58"/>
      <c r="O141" s="58">
        <v>60</v>
      </c>
      <c r="P141" s="58"/>
      <c r="Q141" s="58"/>
      <c r="R141" s="58"/>
      <c r="S141" s="58"/>
      <c r="T141" s="58"/>
      <c r="U141" s="58"/>
      <c r="V141" s="58"/>
      <c r="W141" s="58"/>
      <c r="X141" s="58">
        <v>8</v>
      </c>
      <c r="Y141" s="58">
        <f t="shared" si="15"/>
        <v>8</v>
      </c>
      <c r="Z141" s="59">
        <v>15</v>
      </c>
      <c r="AA141" s="59">
        <v>25</v>
      </c>
      <c r="AB141" s="59">
        <v>15</v>
      </c>
      <c r="AC141" s="59">
        <v>5</v>
      </c>
      <c r="AD141" s="59">
        <v>60</v>
      </c>
      <c r="AE141" s="59"/>
      <c r="AF141" s="59"/>
      <c r="AG141" s="59"/>
      <c r="AH141" s="59"/>
      <c r="AI141" s="130">
        <f t="shared" si="16"/>
        <v>60</v>
      </c>
      <c r="AL141" s="116" t="s">
        <v>374</v>
      </c>
    </row>
    <row r="142" spans="1:38" ht="16.5">
      <c r="A142" s="135">
        <v>133</v>
      </c>
      <c r="B142" s="32" t="s">
        <v>377</v>
      </c>
      <c r="C142" s="58"/>
      <c r="D142" s="58"/>
      <c r="E142" s="58"/>
      <c r="F142" s="58"/>
      <c r="G142" s="58"/>
      <c r="H142" s="58">
        <f t="shared" si="17"/>
        <v>0</v>
      </c>
      <c r="I142" s="58"/>
      <c r="J142" s="58"/>
      <c r="K142" s="58"/>
      <c r="L142" s="58"/>
      <c r="M142" s="58"/>
      <c r="N142" s="58"/>
      <c r="O142" s="58">
        <v>35</v>
      </c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9"/>
      <c r="AA142" s="59"/>
      <c r="AB142" s="59"/>
      <c r="AC142" s="59">
        <v>7</v>
      </c>
      <c r="AD142" s="59">
        <v>7</v>
      </c>
      <c r="AE142" s="59">
        <v>7</v>
      </c>
      <c r="AF142" s="59">
        <v>7</v>
      </c>
      <c r="AG142" s="59">
        <v>7</v>
      </c>
      <c r="AH142" s="59">
        <v>7</v>
      </c>
      <c r="AI142" s="130">
        <f t="shared" si="16"/>
        <v>35</v>
      </c>
      <c r="AL142" s="116" t="s">
        <v>377</v>
      </c>
    </row>
    <row r="143" spans="1:38" ht="16.5">
      <c r="A143" s="135">
        <v>134</v>
      </c>
      <c r="B143" s="32" t="s">
        <v>378</v>
      </c>
      <c r="C143" s="58"/>
      <c r="D143" s="58">
        <v>203</v>
      </c>
      <c r="E143" s="58">
        <v>203</v>
      </c>
      <c r="F143" s="58"/>
      <c r="G143" s="58"/>
      <c r="H143" s="58">
        <f t="shared" si="17"/>
        <v>406</v>
      </c>
      <c r="I143" s="58"/>
      <c r="J143" s="58"/>
      <c r="K143" s="58"/>
      <c r="L143" s="58"/>
      <c r="M143" s="58"/>
      <c r="N143" s="58"/>
      <c r="O143" s="58">
        <v>1227</v>
      </c>
      <c r="P143" s="58"/>
      <c r="Q143" s="58"/>
      <c r="R143" s="58"/>
      <c r="S143" s="58"/>
      <c r="T143" s="58"/>
      <c r="U143" s="58">
        <v>203</v>
      </c>
      <c r="V143" s="58">
        <v>203</v>
      </c>
      <c r="W143" s="58"/>
      <c r="X143" s="58"/>
      <c r="Y143" s="58">
        <f t="shared" si="15"/>
        <v>406</v>
      </c>
      <c r="Z143" s="59"/>
      <c r="AA143" s="59"/>
      <c r="AB143" s="59"/>
      <c r="AC143" s="59"/>
      <c r="AD143" s="59"/>
      <c r="AE143" s="59"/>
      <c r="AF143" s="59">
        <v>216.9</v>
      </c>
      <c r="AG143" s="59">
        <v>500</v>
      </c>
      <c r="AH143" s="59">
        <v>510.1</v>
      </c>
      <c r="AI143" s="130">
        <f t="shared" si="16"/>
        <v>1227</v>
      </c>
      <c r="AL143" s="116" t="s">
        <v>378</v>
      </c>
    </row>
    <row r="144" spans="1:38" ht="33">
      <c r="A144" s="135">
        <v>135</v>
      </c>
      <c r="B144" s="32" t="s">
        <v>379</v>
      </c>
      <c r="C144" s="58"/>
      <c r="D144" s="58"/>
      <c r="E144" s="58">
        <v>63</v>
      </c>
      <c r="F144" s="58">
        <v>63</v>
      </c>
      <c r="G144" s="58"/>
      <c r="H144" s="58">
        <f t="shared" si="17"/>
        <v>126</v>
      </c>
      <c r="I144" s="58"/>
      <c r="J144" s="58"/>
      <c r="K144" s="58"/>
      <c r="L144" s="58"/>
      <c r="M144" s="58"/>
      <c r="N144" s="58"/>
      <c r="O144" s="58">
        <v>500</v>
      </c>
      <c r="P144" s="58"/>
      <c r="Q144" s="58"/>
      <c r="R144" s="58"/>
      <c r="S144" s="58"/>
      <c r="T144" s="58"/>
      <c r="U144" s="58"/>
      <c r="V144" s="58">
        <v>63</v>
      </c>
      <c r="W144" s="58">
        <v>63</v>
      </c>
      <c r="X144" s="58"/>
      <c r="Y144" s="58">
        <f t="shared" si="15"/>
        <v>126</v>
      </c>
      <c r="Z144" s="59"/>
      <c r="AA144" s="59"/>
      <c r="AB144" s="59">
        <v>72.5</v>
      </c>
      <c r="AC144" s="59">
        <v>72.5</v>
      </c>
      <c r="AD144" s="59">
        <v>145</v>
      </c>
      <c r="AE144" s="59"/>
      <c r="AF144" s="59"/>
      <c r="AG144" s="59">
        <v>120</v>
      </c>
      <c r="AH144" s="59">
        <v>275</v>
      </c>
      <c r="AI144" s="130">
        <f t="shared" si="16"/>
        <v>540</v>
      </c>
      <c r="AL144" s="116" t="s">
        <v>379</v>
      </c>
    </row>
    <row r="145" spans="1:38" ht="49.5">
      <c r="A145" s="135">
        <v>136</v>
      </c>
      <c r="B145" s="32" t="s">
        <v>389</v>
      </c>
      <c r="C145" s="58"/>
      <c r="D145" s="58"/>
      <c r="E145" s="58"/>
      <c r="F145" s="58"/>
      <c r="G145" s="58"/>
      <c r="H145" s="58">
        <f t="shared" si="17"/>
        <v>0</v>
      </c>
      <c r="I145" s="58"/>
      <c r="J145" s="58"/>
      <c r="K145" s="58"/>
      <c r="L145" s="58"/>
      <c r="M145" s="58"/>
      <c r="N145" s="58"/>
      <c r="O145" s="58">
        <v>138</v>
      </c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9"/>
      <c r="AA145" s="59"/>
      <c r="AB145" s="59"/>
      <c r="AC145" s="59"/>
      <c r="AD145" s="59"/>
      <c r="AE145" s="59"/>
      <c r="AF145" s="59"/>
      <c r="AG145" s="59">
        <v>130</v>
      </c>
      <c r="AH145" s="59">
        <v>8</v>
      </c>
      <c r="AI145" s="130">
        <f t="shared" si="16"/>
        <v>138</v>
      </c>
      <c r="AL145" s="116" t="s">
        <v>389</v>
      </c>
    </row>
    <row r="146" spans="1:38" ht="66">
      <c r="A146" s="135">
        <v>137</v>
      </c>
      <c r="B146" s="32" t="s">
        <v>382</v>
      </c>
      <c r="C146" s="58">
        <v>0.05</v>
      </c>
      <c r="D146" s="58">
        <v>0.05</v>
      </c>
      <c r="E146" s="58">
        <v>0.05</v>
      </c>
      <c r="F146" s="58">
        <v>0.05</v>
      </c>
      <c r="G146" s="58">
        <v>0.05</v>
      </c>
      <c r="H146" s="58">
        <f t="shared" si="17"/>
        <v>0.25</v>
      </c>
      <c r="I146" s="58"/>
      <c r="J146" s="58"/>
      <c r="K146" s="58"/>
      <c r="L146" s="58"/>
      <c r="M146" s="58"/>
      <c r="N146" s="58"/>
      <c r="O146" s="58">
        <v>20.38</v>
      </c>
      <c r="P146" s="58"/>
      <c r="Q146" s="58"/>
      <c r="R146" s="58"/>
      <c r="S146" s="58">
        <v>0.05</v>
      </c>
      <c r="T146" s="58">
        <v>0.05</v>
      </c>
      <c r="U146" s="58">
        <v>0.05</v>
      </c>
      <c r="V146" s="58">
        <v>0.05</v>
      </c>
      <c r="W146" s="58">
        <v>0.05</v>
      </c>
      <c r="X146" s="58">
        <v>0.05</v>
      </c>
      <c r="Y146" s="58">
        <f>SUM(T146:X146)</f>
        <v>0.25</v>
      </c>
      <c r="Z146" s="59"/>
      <c r="AA146" s="59"/>
      <c r="AB146" s="59"/>
      <c r="AC146" s="59"/>
      <c r="AD146" s="59"/>
      <c r="AE146" s="59"/>
      <c r="AF146" s="59"/>
      <c r="AG146" s="59"/>
      <c r="AH146" s="59"/>
      <c r="AI146" s="130"/>
      <c r="AL146" s="116" t="s">
        <v>382</v>
      </c>
    </row>
    <row r="147" spans="1:38" ht="16.5">
      <c r="A147" s="135">
        <v>138</v>
      </c>
      <c r="B147" s="32" t="s">
        <v>340</v>
      </c>
      <c r="C147" s="58">
        <v>1</v>
      </c>
      <c r="D147" s="58">
        <v>1</v>
      </c>
      <c r="E147" s="58">
        <v>1</v>
      </c>
      <c r="F147" s="58">
        <v>1</v>
      </c>
      <c r="G147" s="58">
        <v>1</v>
      </c>
      <c r="H147" s="58">
        <f t="shared" si="17"/>
        <v>5</v>
      </c>
      <c r="I147" s="58"/>
      <c r="J147" s="58"/>
      <c r="K147" s="58"/>
      <c r="L147" s="58"/>
      <c r="M147" s="58"/>
      <c r="N147" s="58"/>
      <c r="O147" s="58">
        <v>15.6</v>
      </c>
      <c r="P147" s="58"/>
      <c r="Q147" s="58"/>
      <c r="R147" s="58"/>
      <c r="S147" s="58">
        <v>1</v>
      </c>
      <c r="T147" s="58">
        <v>1</v>
      </c>
      <c r="U147" s="58">
        <v>1</v>
      </c>
      <c r="V147" s="58">
        <v>1</v>
      </c>
      <c r="W147" s="58">
        <v>1</v>
      </c>
      <c r="X147" s="58">
        <v>1</v>
      </c>
      <c r="Y147" s="58">
        <f>SUM(T147:X147)</f>
        <v>5</v>
      </c>
      <c r="Z147" s="59"/>
      <c r="AA147" s="59"/>
      <c r="AB147" s="59"/>
      <c r="AC147" s="59"/>
      <c r="AD147" s="59"/>
      <c r="AE147" s="59"/>
      <c r="AF147" s="59"/>
      <c r="AG147" s="59"/>
      <c r="AH147" s="59"/>
      <c r="AI147" s="130"/>
      <c r="AL147" s="116" t="s">
        <v>340</v>
      </c>
    </row>
    <row r="148" spans="1:38" ht="33">
      <c r="A148" s="135">
        <v>139</v>
      </c>
      <c r="B148" s="32" t="s">
        <v>349</v>
      </c>
      <c r="C148" s="58"/>
      <c r="D148" s="58"/>
      <c r="E148" s="58">
        <v>3.15</v>
      </c>
      <c r="F148" s="58"/>
      <c r="G148" s="58"/>
      <c r="H148" s="58">
        <f t="shared" si="17"/>
        <v>3.15</v>
      </c>
      <c r="I148" s="58"/>
      <c r="J148" s="58"/>
      <c r="K148" s="58"/>
      <c r="L148" s="58"/>
      <c r="M148" s="58"/>
      <c r="N148" s="58"/>
      <c r="O148" s="58">
        <v>48.15</v>
      </c>
      <c r="P148" s="58"/>
      <c r="Q148" s="58"/>
      <c r="R148" s="58"/>
      <c r="S148" s="58"/>
      <c r="T148" s="58"/>
      <c r="U148" s="58"/>
      <c r="V148" s="58">
        <v>3.15</v>
      </c>
      <c r="W148" s="58"/>
      <c r="X148" s="58"/>
      <c r="Y148" s="58">
        <f t="shared" si="15"/>
        <v>3.15</v>
      </c>
      <c r="Z148" s="59"/>
      <c r="AA148" s="59"/>
      <c r="AB148" s="59"/>
      <c r="AC148" s="59"/>
      <c r="AD148" s="59"/>
      <c r="AE148" s="59"/>
      <c r="AF148" s="59"/>
      <c r="AG148" s="59"/>
      <c r="AH148" s="59"/>
      <c r="AI148" s="130"/>
      <c r="AL148" s="116" t="s">
        <v>349</v>
      </c>
    </row>
    <row r="149" spans="1:38" ht="33">
      <c r="A149" s="135">
        <v>140</v>
      </c>
      <c r="B149" s="32" t="s">
        <v>356</v>
      </c>
      <c r="C149" s="59"/>
      <c r="D149" s="59"/>
      <c r="E149" s="59">
        <v>126</v>
      </c>
      <c r="F149" s="59"/>
      <c r="G149" s="59"/>
      <c r="H149" s="58">
        <f t="shared" si="17"/>
        <v>126</v>
      </c>
      <c r="I149" s="59"/>
      <c r="J149" s="59"/>
      <c r="K149" s="59"/>
      <c r="L149" s="59"/>
      <c r="M149" s="59"/>
      <c r="N149" s="59"/>
      <c r="O149" s="59">
        <v>116</v>
      </c>
      <c r="P149" s="59"/>
      <c r="Q149" s="59"/>
      <c r="R149" s="59"/>
      <c r="S149" s="59"/>
      <c r="T149" s="59"/>
      <c r="U149" s="59"/>
      <c r="V149" s="59">
        <v>126</v>
      </c>
      <c r="W149" s="59"/>
      <c r="X149" s="59"/>
      <c r="Y149" s="58">
        <f t="shared" si="15"/>
        <v>126</v>
      </c>
      <c r="Z149" s="59"/>
      <c r="AA149" s="59"/>
      <c r="AB149" s="59"/>
      <c r="AC149" s="59"/>
      <c r="AD149" s="59"/>
      <c r="AE149" s="59"/>
      <c r="AF149" s="59">
        <v>116</v>
      </c>
      <c r="AG149" s="59"/>
      <c r="AH149" s="59"/>
      <c r="AI149" s="130">
        <f>AH149+AG149+AF149+AE149+AD149</f>
        <v>116</v>
      </c>
      <c r="AL149" s="116" t="s">
        <v>356</v>
      </c>
    </row>
    <row r="150" spans="1:38" ht="33">
      <c r="A150" s="135">
        <v>141</v>
      </c>
      <c r="B150" s="32" t="s">
        <v>234</v>
      </c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>
        <v>14.128</v>
      </c>
      <c r="P150" s="59"/>
      <c r="Q150" s="59"/>
      <c r="R150" s="59"/>
      <c r="S150" s="58"/>
      <c r="T150" s="58"/>
      <c r="U150" s="59"/>
      <c r="V150" s="59"/>
      <c r="W150" s="59"/>
      <c r="X150" s="59"/>
      <c r="Y150" s="58"/>
      <c r="Z150" s="59"/>
      <c r="AA150" s="59"/>
      <c r="AB150" s="59"/>
      <c r="AC150" s="59">
        <v>14.128</v>
      </c>
      <c r="AD150" s="59">
        <v>14.128</v>
      </c>
      <c r="AE150" s="59"/>
      <c r="AF150" s="59"/>
      <c r="AG150" s="59"/>
      <c r="AH150" s="59"/>
      <c r="AI150" s="130">
        <f>AH150+AG150+AF150+AE150+AD150</f>
        <v>14.128</v>
      </c>
      <c r="AL150" s="116" t="s">
        <v>234</v>
      </c>
    </row>
    <row r="151" spans="1:38" ht="33">
      <c r="A151" s="135">
        <v>142</v>
      </c>
      <c r="B151" s="32" t="s">
        <v>239</v>
      </c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>
        <v>10.5</v>
      </c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>
        <v>6</v>
      </c>
      <c r="AF151" s="59">
        <v>4.5</v>
      </c>
      <c r="AG151" s="59"/>
      <c r="AH151" s="59"/>
      <c r="AI151" s="130">
        <f t="shared" ref="AI151:AI177" si="18">AH151+AG151+AF151+AE151+AD151</f>
        <v>10.5</v>
      </c>
      <c r="AL151" s="116" t="s">
        <v>239</v>
      </c>
    </row>
    <row r="152" spans="1:38" ht="33">
      <c r="A152" s="135">
        <v>143</v>
      </c>
      <c r="B152" s="32" t="s">
        <v>237</v>
      </c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>
        <v>18.5</v>
      </c>
      <c r="P152" s="59"/>
      <c r="Q152" s="59"/>
      <c r="R152" s="59"/>
      <c r="S152" s="58"/>
      <c r="T152" s="58"/>
      <c r="U152" s="59"/>
      <c r="V152" s="59"/>
      <c r="W152" s="59"/>
      <c r="X152" s="59"/>
      <c r="Y152" s="58"/>
      <c r="Z152" s="59"/>
      <c r="AA152" s="59"/>
      <c r="AB152" s="59"/>
      <c r="AC152" s="59">
        <v>18.5</v>
      </c>
      <c r="AD152" s="59">
        <v>18.5</v>
      </c>
      <c r="AE152" s="59"/>
      <c r="AF152" s="59"/>
      <c r="AG152" s="59"/>
      <c r="AH152" s="59"/>
      <c r="AI152" s="130">
        <f t="shared" si="18"/>
        <v>18.5</v>
      </c>
      <c r="AL152" s="116" t="s">
        <v>237</v>
      </c>
    </row>
    <row r="153" spans="1:38" ht="33">
      <c r="A153" s="135">
        <v>144</v>
      </c>
      <c r="B153" s="32" t="s">
        <v>240</v>
      </c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>
        <v>2.5</v>
      </c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>
        <v>2.5</v>
      </c>
      <c r="AD153" s="59">
        <v>2.5</v>
      </c>
      <c r="AE153" s="59"/>
      <c r="AF153" s="59"/>
      <c r="AG153" s="59"/>
      <c r="AH153" s="59"/>
      <c r="AI153" s="130">
        <f t="shared" si="18"/>
        <v>2.5</v>
      </c>
      <c r="AL153" s="116" t="s">
        <v>240</v>
      </c>
    </row>
    <row r="154" spans="1:38" ht="49.5">
      <c r="A154" s="135">
        <v>145</v>
      </c>
      <c r="B154" s="32" t="s">
        <v>244</v>
      </c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>
        <v>16</v>
      </c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>
        <v>16</v>
      </c>
      <c r="AG154" s="59"/>
      <c r="AH154" s="59"/>
      <c r="AI154" s="130">
        <f t="shared" si="18"/>
        <v>16</v>
      </c>
      <c r="AL154" s="116" t="s">
        <v>244</v>
      </c>
    </row>
    <row r="155" spans="1:38" ht="33">
      <c r="A155" s="135">
        <v>146</v>
      </c>
      <c r="B155" s="32" t="s">
        <v>245</v>
      </c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>
        <v>19.34</v>
      </c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>
        <v>19.34</v>
      </c>
      <c r="AF155" s="59"/>
      <c r="AG155" s="59"/>
      <c r="AH155" s="59"/>
      <c r="AI155" s="130">
        <f t="shared" si="18"/>
        <v>19.34</v>
      </c>
      <c r="AL155" s="116" t="s">
        <v>245</v>
      </c>
    </row>
    <row r="156" spans="1:38" ht="33">
      <c r="A156" s="135">
        <v>147</v>
      </c>
      <c r="B156" s="32" t="s">
        <v>246</v>
      </c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>
        <v>5.7229999999999999</v>
      </c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>
        <v>5.7229999999999999</v>
      </c>
      <c r="AG156" s="59"/>
      <c r="AH156" s="59"/>
      <c r="AI156" s="130">
        <f t="shared" si="18"/>
        <v>5.7229999999999999</v>
      </c>
      <c r="AL156" s="116" t="s">
        <v>246</v>
      </c>
    </row>
    <row r="157" spans="1:38" ht="16.5">
      <c r="A157" s="135">
        <v>148</v>
      </c>
      <c r="B157" s="32" t="s">
        <v>247</v>
      </c>
      <c r="C157" s="59"/>
      <c r="D157" s="59">
        <v>4</v>
      </c>
      <c r="E157" s="59">
        <v>4</v>
      </c>
      <c r="F157" s="59"/>
      <c r="G157" s="59"/>
      <c r="H157" s="59">
        <v>8</v>
      </c>
      <c r="I157" s="59"/>
      <c r="J157" s="59"/>
      <c r="K157" s="59"/>
      <c r="L157" s="59"/>
      <c r="M157" s="59"/>
      <c r="N157" s="59"/>
      <c r="O157" s="59">
        <v>28</v>
      </c>
      <c r="P157" s="59"/>
      <c r="Q157" s="59"/>
      <c r="R157" s="59"/>
      <c r="S157" s="59"/>
      <c r="T157" s="59"/>
      <c r="U157" s="58">
        <v>4</v>
      </c>
      <c r="V157" s="58">
        <v>4</v>
      </c>
      <c r="W157" s="59"/>
      <c r="X157" s="59"/>
      <c r="Y157" s="58">
        <v>8</v>
      </c>
      <c r="Z157" s="59"/>
      <c r="AA157" s="59"/>
      <c r="AB157" s="59"/>
      <c r="AC157" s="59"/>
      <c r="AD157" s="59"/>
      <c r="AE157" s="59">
        <v>14</v>
      </c>
      <c r="AF157" s="59">
        <v>14</v>
      </c>
      <c r="AG157" s="59"/>
      <c r="AH157" s="59"/>
      <c r="AI157" s="130">
        <f t="shared" si="18"/>
        <v>28</v>
      </c>
      <c r="AL157" s="116" t="s">
        <v>247</v>
      </c>
    </row>
    <row r="158" spans="1:38" ht="49.5">
      <c r="A158" s="135">
        <v>149</v>
      </c>
      <c r="B158" s="32" t="s">
        <v>248</v>
      </c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>
        <v>6.0350000000000001</v>
      </c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>
        <v>6.0350000000000001</v>
      </c>
      <c r="AF158" s="59"/>
      <c r="AG158" s="59"/>
      <c r="AH158" s="59"/>
      <c r="AI158" s="130">
        <f t="shared" si="18"/>
        <v>6.0350000000000001</v>
      </c>
      <c r="AL158" s="116" t="s">
        <v>248</v>
      </c>
    </row>
    <row r="159" spans="1:38" ht="33">
      <c r="A159" s="135">
        <v>150</v>
      </c>
      <c r="B159" s="32" t="s">
        <v>249</v>
      </c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>
        <v>0.56100000000000005</v>
      </c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>
        <v>0.56100000000000005</v>
      </c>
      <c r="AF159" s="59"/>
      <c r="AG159" s="59"/>
      <c r="AH159" s="59"/>
      <c r="AI159" s="130">
        <f t="shared" si="18"/>
        <v>0.56100000000000005</v>
      </c>
      <c r="AL159" s="116" t="s">
        <v>249</v>
      </c>
    </row>
    <row r="160" spans="1:38" ht="33">
      <c r="A160" s="135">
        <v>151</v>
      </c>
      <c r="B160" s="32" t="s">
        <v>250</v>
      </c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>
        <v>2.15</v>
      </c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>
        <v>2.15</v>
      </c>
      <c r="AF160" s="59"/>
      <c r="AG160" s="59"/>
      <c r="AH160" s="59"/>
      <c r="AI160" s="130">
        <f t="shared" si="18"/>
        <v>2.15</v>
      </c>
      <c r="AL160" s="116" t="s">
        <v>250</v>
      </c>
    </row>
    <row r="161" spans="1:38" ht="16.5">
      <c r="A161" s="135">
        <v>152</v>
      </c>
      <c r="B161" s="32" t="s">
        <v>251</v>
      </c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>
        <v>5.64</v>
      </c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>
        <v>2.84</v>
      </c>
      <c r="AG161" s="59">
        <v>2.8</v>
      </c>
      <c r="AH161" s="59"/>
      <c r="AI161" s="130">
        <f t="shared" si="18"/>
        <v>5.64</v>
      </c>
      <c r="AL161" s="116" t="s">
        <v>251</v>
      </c>
    </row>
    <row r="162" spans="1:38" ht="33">
      <c r="A162" s="135">
        <v>153</v>
      </c>
      <c r="B162" s="32" t="s">
        <v>252</v>
      </c>
      <c r="C162" s="59"/>
      <c r="D162" s="59"/>
      <c r="E162" s="59"/>
      <c r="F162" s="59">
        <v>125</v>
      </c>
      <c r="G162" s="59"/>
      <c r="H162" s="59">
        <v>125</v>
      </c>
      <c r="I162" s="59"/>
      <c r="J162" s="59"/>
      <c r="K162" s="59"/>
      <c r="L162" s="59"/>
      <c r="M162" s="59"/>
      <c r="N162" s="59"/>
      <c r="O162" s="59">
        <v>300</v>
      </c>
      <c r="P162" s="59"/>
      <c r="Q162" s="59"/>
      <c r="R162" s="59"/>
      <c r="S162" s="59"/>
      <c r="T162" s="59"/>
      <c r="U162" s="59"/>
      <c r="V162" s="59"/>
      <c r="W162" s="58">
        <v>125</v>
      </c>
      <c r="X162" s="59"/>
      <c r="Y162" s="58">
        <v>125</v>
      </c>
      <c r="Z162" s="59"/>
      <c r="AA162" s="59"/>
      <c r="AB162" s="59"/>
      <c r="AC162" s="59"/>
      <c r="AD162" s="59"/>
      <c r="AE162" s="59"/>
      <c r="AF162" s="59"/>
      <c r="AG162" s="59">
        <v>300</v>
      </c>
      <c r="AH162" s="59"/>
      <c r="AI162" s="130">
        <f t="shared" si="18"/>
        <v>300</v>
      </c>
      <c r="AL162" s="116" t="s">
        <v>252</v>
      </c>
    </row>
    <row r="163" spans="1:38" ht="33">
      <c r="A163" s="135">
        <v>154</v>
      </c>
      <c r="B163" s="32" t="s">
        <v>253</v>
      </c>
      <c r="C163" s="59"/>
      <c r="D163" s="59"/>
      <c r="E163" s="59"/>
      <c r="F163" s="59"/>
      <c r="G163" s="59">
        <v>125</v>
      </c>
      <c r="H163" s="59">
        <v>125</v>
      </c>
      <c r="I163" s="59"/>
      <c r="J163" s="59"/>
      <c r="K163" s="59"/>
      <c r="L163" s="59"/>
      <c r="M163" s="59"/>
      <c r="N163" s="59"/>
      <c r="O163" s="59">
        <v>531</v>
      </c>
      <c r="P163" s="59"/>
      <c r="Q163" s="59"/>
      <c r="R163" s="59"/>
      <c r="S163" s="59"/>
      <c r="T163" s="59"/>
      <c r="U163" s="59"/>
      <c r="V163" s="59"/>
      <c r="W163" s="59"/>
      <c r="X163" s="58">
        <v>125</v>
      </c>
      <c r="Y163" s="58">
        <v>125</v>
      </c>
      <c r="Z163" s="59"/>
      <c r="AA163" s="59"/>
      <c r="AB163" s="59"/>
      <c r="AC163" s="59"/>
      <c r="AD163" s="59"/>
      <c r="AE163" s="59"/>
      <c r="AF163" s="59"/>
      <c r="AG163" s="59"/>
      <c r="AH163" s="59">
        <v>531</v>
      </c>
      <c r="AI163" s="130">
        <f t="shared" si="18"/>
        <v>531</v>
      </c>
      <c r="AL163" s="116" t="s">
        <v>253</v>
      </c>
    </row>
    <row r="164" spans="1:38" ht="49.5">
      <c r="A164" s="135">
        <v>155</v>
      </c>
      <c r="B164" s="32" t="s">
        <v>254</v>
      </c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>
        <v>8</v>
      </c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>
        <v>8</v>
      </c>
      <c r="AI164" s="130">
        <f t="shared" si="18"/>
        <v>8</v>
      </c>
      <c r="AL164" s="116" t="s">
        <v>254</v>
      </c>
    </row>
    <row r="165" spans="1:38" ht="33">
      <c r="A165" s="135">
        <v>156</v>
      </c>
      <c r="B165" s="32" t="s">
        <v>255</v>
      </c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>
        <v>116</v>
      </c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>
        <v>36</v>
      </c>
      <c r="AD165" s="59">
        <v>36</v>
      </c>
      <c r="AE165" s="59">
        <v>47.5</v>
      </c>
      <c r="AF165" s="59">
        <v>32.5</v>
      </c>
      <c r="AG165" s="59"/>
      <c r="AH165" s="59"/>
      <c r="AI165" s="130">
        <f t="shared" si="18"/>
        <v>116</v>
      </c>
      <c r="AL165" s="116" t="s">
        <v>255</v>
      </c>
    </row>
    <row r="166" spans="1:38" ht="33">
      <c r="A166" s="135">
        <v>157</v>
      </c>
      <c r="B166" s="32" t="s">
        <v>256</v>
      </c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>
        <v>9</v>
      </c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>
        <v>9</v>
      </c>
      <c r="AD166" s="59">
        <v>9</v>
      </c>
      <c r="AE166" s="59"/>
      <c r="AF166" s="59"/>
      <c r="AG166" s="59"/>
      <c r="AH166" s="59"/>
      <c r="AI166" s="130">
        <f t="shared" si="18"/>
        <v>9</v>
      </c>
      <c r="AL166" s="116" t="s">
        <v>256</v>
      </c>
    </row>
    <row r="167" spans="1:38" ht="33">
      <c r="A167" s="135">
        <v>158</v>
      </c>
      <c r="B167" s="32" t="s">
        <v>603</v>
      </c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>
        <v>75</v>
      </c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>
        <v>75</v>
      </c>
      <c r="AG167" s="59"/>
      <c r="AH167" s="59"/>
      <c r="AI167" s="130">
        <f t="shared" si="18"/>
        <v>75</v>
      </c>
      <c r="AL167" s="116" t="s">
        <v>603</v>
      </c>
    </row>
    <row r="168" spans="1:38" ht="49.5">
      <c r="A168" s="135">
        <v>159</v>
      </c>
      <c r="B168" s="32" t="s">
        <v>257</v>
      </c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>
        <v>28</v>
      </c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>
        <v>28</v>
      </c>
      <c r="AH168" s="59"/>
      <c r="AI168" s="130">
        <f t="shared" si="18"/>
        <v>28</v>
      </c>
      <c r="AL168" s="116" t="s">
        <v>257</v>
      </c>
    </row>
    <row r="169" spans="1:38" ht="33">
      <c r="A169" s="135">
        <v>160</v>
      </c>
      <c r="B169" s="32" t="s">
        <v>258</v>
      </c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>
        <v>9.5399999999999991</v>
      </c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>
        <v>1.76</v>
      </c>
      <c r="AG169" s="59">
        <v>2.5</v>
      </c>
      <c r="AH169" s="59">
        <v>5.28</v>
      </c>
      <c r="AI169" s="130">
        <f t="shared" si="18"/>
        <v>9.5400000000000009</v>
      </c>
      <c r="AL169" s="116" t="s">
        <v>258</v>
      </c>
    </row>
    <row r="170" spans="1:38" ht="33">
      <c r="A170" s="135">
        <v>161</v>
      </c>
      <c r="B170" s="32" t="s">
        <v>259</v>
      </c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>
        <v>2.4500000000000002</v>
      </c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>
        <v>2.4500000000000002</v>
      </c>
      <c r="AG170" s="59"/>
      <c r="AH170" s="59"/>
      <c r="AI170" s="130">
        <f t="shared" si="18"/>
        <v>2.4500000000000002</v>
      </c>
      <c r="AL170" s="116" t="s">
        <v>259</v>
      </c>
    </row>
    <row r="171" spans="1:38" ht="49.5">
      <c r="A171" s="135">
        <v>162</v>
      </c>
      <c r="B171" s="32" t="s">
        <v>260</v>
      </c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>
        <v>1.85</v>
      </c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>
        <v>1.85</v>
      </c>
      <c r="AF171" s="59"/>
      <c r="AG171" s="59"/>
      <c r="AH171" s="59"/>
      <c r="AI171" s="130">
        <f t="shared" si="18"/>
        <v>1.85</v>
      </c>
      <c r="AL171" s="116" t="s">
        <v>260</v>
      </c>
    </row>
    <row r="172" spans="1:38" ht="49.5">
      <c r="A172" s="135">
        <v>163</v>
      </c>
      <c r="B172" s="32" t="s">
        <v>263</v>
      </c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>
        <v>0.85</v>
      </c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>
        <v>0.85</v>
      </c>
      <c r="AD172" s="59">
        <v>0.85</v>
      </c>
      <c r="AE172" s="59"/>
      <c r="AF172" s="59"/>
      <c r="AG172" s="59"/>
      <c r="AH172" s="59"/>
      <c r="AI172" s="130">
        <f t="shared" si="18"/>
        <v>0.85</v>
      </c>
      <c r="AL172" s="116" t="s">
        <v>263</v>
      </c>
    </row>
    <row r="173" spans="1:38" ht="49.5">
      <c r="A173" s="135">
        <v>164</v>
      </c>
      <c r="B173" s="32" t="s">
        <v>236</v>
      </c>
      <c r="C173" s="59">
        <v>1.2</v>
      </c>
      <c r="D173" s="59"/>
      <c r="E173" s="59"/>
      <c r="F173" s="59"/>
      <c r="G173" s="59"/>
      <c r="H173" s="59">
        <v>1.2</v>
      </c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>
        <v>1.2</v>
      </c>
      <c r="T173" s="59">
        <v>1.2</v>
      </c>
      <c r="U173" s="59"/>
      <c r="V173" s="59"/>
      <c r="W173" s="59"/>
      <c r="X173" s="59"/>
      <c r="Y173" s="59">
        <v>1.2</v>
      </c>
      <c r="Z173" s="59"/>
      <c r="AA173" s="59"/>
      <c r="AB173" s="59"/>
      <c r="AC173" s="59">
        <v>4.3</v>
      </c>
      <c r="AD173" s="59">
        <v>4.3</v>
      </c>
      <c r="AE173" s="59"/>
      <c r="AF173" s="59"/>
      <c r="AG173" s="59"/>
      <c r="AH173" s="59"/>
      <c r="AI173" s="130">
        <f t="shared" si="18"/>
        <v>4.3</v>
      </c>
      <c r="AL173" s="116" t="s">
        <v>236</v>
      </c>
    </row>
    <row r="174" spans="1:38" ht="33">
      <c r="A174" s="135">
        <v>165</v>
      </c>
      <c r="B174" s="32" t="s">
        <v>261</v>
      </c>
      <c r="C174" s="59">
        <v>1.5</v>
      </c>
      <c r="D174" s="59"/>
      <c r="E174" s="59"/>
      <c r="F174" s="59"/>
      <c r="G174" s="59"/>
      <c r="H174" s="59">
        <v>1.5</v>
      </c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>
        <v>1.5</v>
      </c>
      <c r="T174" s="59">
        <v>1.5</v>
      </c>
      <c r="U174" s="59"/>
      <c r="V174" s="59"/>
      <c r="W174" s="59"/>
      <c r="X174" s="59"/>
      <c r="Y174" s="59">
        <v>1.5</v>
      </c>
      <c r="Z174" s="59"/>
      <c r="AA174" s="59"/>
      <c r="AB174" s="59"/>
      <c r="AC174" s="59">
        <v>4.8499999999999996</v>
      </c>
      <c r="AD174" s="59">
        <v>4.8499999999999996</v>
      </c>
      <c r="AE174" s="59"/>
      <c r="AF174" s="59"/>
      <c r="AG174" s="59"/>
      <c r="AH174" s="59"/>
      <c r="AI174" s="130">
        <f t="shared" si="18"/>
        <v>4.8499999999999996</v>
      </c>
      <c r="AL174" s="116" t="s">
        <v>261</v>
      </c>
    </row>
    <row r="175" spans="1:38" ht="16.5">
      <c r="A175" s="135">
        <v>166</v>
      </c>
      <c r="B175" s="32" t="s">
        <v>262</v>
      </c>
      <c r="C175" s="59"/>
      <c r="D175" s="59">
        <v>1.2</v>
      </c>
      <c r="E175" s="59"/>
      <c r="F175" s="59"/>
      <c r="G175" s="59"/>
      <c r="H175" s="59">
        <v>1.2</v>
      </c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>
        <v>1.2</v>
      </c>
      <c r="V175" s="59"/>
      <c r="W175" s="59"/>
      <c r="X175" s="59"/>
      <c r="Y175" s="59">
        <v>1.2</v>
      </c>
      <c r="Z175" s="59"/>
      <c r="AA175" s="59"/>
      <c r="AB175" s="59"/>
      <c r="AC175" s="59"/>
      <c r="AD175" s="59"/>
      <c r="AE175" s="59">
        <v>4.3</v>
      </c>
      <c r="AF175" s="59"/>
      <c r="AG175" s="59"/>
      <c r="AH175" s="59"/>
      <c r="AI175" s="130">
        <f t="shared" si="18"/>
        <v>4.3</v>
      </c>
      <c r="AL175" s="116" t="s">
        <v>262</v>
      </c>
    </row>
    <row r="176" spans="1:38" ht="66">
      <c r="A176" s="135">
        <v>167</v>
      </c>
      <c r="B176" s="32" t="s">
        <v>692</v>
      </c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>
        <f>8*1.18</f>
        <v>9.44</v>
      </c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>
        <f>8*1.18</f>
        <v>9.44</v>
      </c>
      <c r="AH176" s="59"/>
      <c r="AI176" s="130">
        <f t="shared" si="18"/>
        <v>9.44</v>
      </c>
      <c r="AL176" s="116" t="s">
        <v>692</v>
      </c>
    </row>
    <row r="177" spans="1:38" ht="66">
      <c r="A177" s="135">
        <v>168</v>
      </c>
      <c r="B177" s="32" t="s">
        <v>693</v>
      </c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>
        <f>8*1.18</f>
        <v>9.44</v>
      </c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>
        <f>8*1.18</f>
        <v>9.44</v>
      </c>
      <c r="AH177" s="59"/>
      <c r="AI177" s="130">
        <f t="shared" si="18"/>
        <v>9.44</v>
      </c>
      <c r="AL177" s="116" t="s">
        <v>693</v>
      </c>
    </row>
    <row r="178" spans="1:38" ht="24.75" customHeight="1">
      <c r="A178" s="138"/>
      <c r="B178" s="126" t="s">
        <v>634</v>
      </c>
      <c r="C178" s="131">
        <f t="shared" ref="C178:AI178" si="19">SUM(C179:C241)</f>
        <v>596.30999999999995</v>
      </c>
      <c r="D178" s="131">
        <f t="shared" si="19"/>
        <v>575.40000000000009</v>
      </c>
      <c r="E178" s="131">
        <f t="shared" si="19"/>
        <v>597.22</v>
      </c>
      <c r="F178" s="131">
        <f t="shared" si="19"/>
        <v>537.25</v>
      </c>
      <c r="G178" s="131">
        <f t="shared" si="19"/>
        <v>778.9</v>
      </c>
      <c r="H178" s="131">
        <f t="shared" si="19"/>
        <v>3085.08</v>
      </c>
      <c r="I178" s="131">
        <f t="shared" si="19"/>
        <v>0</v>
      </c>
      <c r="J178" s="131">
        <f t="shared" si="19"/>
        <v>0</v>
      </c>
      <c r="K178" s="131">
        <f t="shared" si="19"/>
        <v>0</v>
      </c>
      <c r="L178" s="131">
        <f t="shared" si="19"/>
        <v>0</v>
      </c>
      <c r="M178" s="131">
        <f t="shared" si="19"/>
        <v>0</v>
      </c>
      <c r="N178" s="131">
        <f t="shared" si="19"/>
        <v>0</v>
      </c>
      <c r="O178" s="131">
        <f t="shared" si="19"/>
        <v>15670.998223999999</v>
      </c>
      <c r="P178" s="131">
        <f t="shared" si="19"/>
        <v>0</v>
      </c>
      <c r="Q178" s="131">
        <f t="shared" si="19"/>
        <v>15</v>
      </c>
      <c r="R178" s="131">
        <f t="shared" si="19"/>
        <v>5</v>
      </c>
      <c r="S178" s="131">
        <f t="shared" si="19"/>
        <v>576.30999999999995</v>
      </c>
      <c r="T178" s="131">
        <f t="shared" si="19"/>
        <v>596.30999999999995</v>
      </c>
      <c r="U178" s="131">
        <f t="shared" si="19"/>
        <v>575.40000000000009</v>
      </c>
      <c r="V178" s="131">
        <f t="shared" si="19"/>
        <v>597.22</v>
      </c>
      <c r="W178" s="131">
        <f t="shared" si="19"/>
        <v>537.25</v>
      </c>
      <c r="X178" s="131">
        <f t="shared" si="19"/>
        <v>778.9</v>
      </c>
      <c r="Y178" s="131">
        <f t="shared" si="19"/>
        <v>3085.08</v>
      </c>
      <c r="Z178" s="131">
        <f t="shared" si="19"/>
        <v>166</v>
      </c>
      <c r="AA178" s="131">
        <f t="shared" si="19"/>
        <v>278</v>
      </c>
      <c r="AB178" s="131">
        <f t="shared" si="19"/>
        <v>326</v>
      </c>
      <c r="AC178" s="131">
        <f t="shared" si="19"/>
        <v>1183.5110000000002</v>
      </c>
      <c r="AD178" s="131">
        <f t="shared" si="19"/>
        <v>1953.5110000000002</v>
      </c>
      <c r="AE178" s="131">
        <f t="shared" si="19"/>
        <v>2797.674</v>
      </c>
      <c r="AF178" s="131">
        <f t="shared" si="19"/>
        <v>2669.5699999999997</v>
      </c>
      <c r="AG178" s="131">
        <f t="shared" si="19"/>
        <v>2158.4976000000001</v>
      </c>
      <c r="AH178" s="131">
        <f t="shared" si="19"/>
        <v>3180.5231999999996</v>
      </c>
      <c r="AI178" s="132">
        <f t="shared" si="19"/>
        <v>12759.775800000001</v>
      </c>
      <c r="AL178" s="62" t="s">
        <v>634</v>
      </c>
    </row>
    <row r="179" spans="1:38" ht="23.25" customHeight="1">
      <c r="A179" s="138">
        <v>1</v>
      </c>
      <c r="B179" s="32" t="s">
        <v>88</v>
      </c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>
        <f>10+45+20+15+30</f>
        <v>120</v>
      </c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>
        <v>10</v>
      </c>
      <c r="AA179" s="59"/>
      <c r="AB179" s="59"/>
      <c r="AC179" s="59"/>
      <c r="AD179" s="59">
        <f t="shared" ref="AD179:AD192" si="20">SUM(Z179:AC179)</f>
        <v>10</v>
      </c>
      <c r="AE179" s="59">
        <v>45</v>
      </c>
      <c r="AF179" s="59">
        <v>20</v>
      </c>
      <c r="AG179" s="59">
        <v>15</v>
      </c>
      <c r="AH179" s="59">
        <v>30</v>
      </c>
      <c r="AI179" s="130">
        <f t="shared" ref="AI179:AI192" si="21">SUM(AD179:AH179)</f>
        <v>120</v>
      </c>
      <c r="AL179" s="116" t="s">
        <v>88</v>
      </c>
    </row>
    <row r="180" spans="1:38" ht="82.5">
      <c r="A180" s="138">
        <v>2</v>
      </c>
      <c r="B180" s="32" t="s">
        <v>92</v>
      </c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>
        <v>244</v>
      </c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>
        <v>244</v>
      </c>
      <c r="AF180" s="59"/>
      <c r="AG180" s="59"/>
      <c r="AH180" s="59"/>
      <c r="AI180" s="130">
        <f t="shared" si="21"/>
        <v>244</v>
      </c>
      <c r="AL180" s="116" t="s">
        <v>92</v>
      </c>
    </row>
    <row r="181" spans="1:38" ht="82.5">
      <c r="A181" s="138">
        <v>3</v>
      </c>
      <c r="B181" s="32" t="s">
        <v>93</v>
      </c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>
        <v>211</v>
      </c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>
        <v>211</v>
      </c>
      <c r="AF181" s="59"/>
      <c r="AG181" s="59"/>
      <c r="AH181" s="59"/>
      <c r="AI181" s="130">
        <f t="shared" si="21"/>
        <v>211</v>
      </c>
      <c r="AL181" s="116" t="s">
        <v>93</v>
      </c>
    </row>
    <row r="182" spans="1:38" ht="16.5">
      <c r="A182" s="138">
        <v>4</v>
      </c>
      <c r="B182" s="32" t="s">
        <v>94</v>
      </c>
      <c r="C182" s="59"/>
      <c r="D182" s="59"/>
      <c r="E182" s="59">
        <v>5</v>
      </c>
      <c r="F182" s="59">
        <v>5</v>
      </c>
      <c r="G182" s="59">
        <v>7</v>
      </c>
      <c r="H182" s="59">
        <f t="shared" ref="H182:H192" si="22">SUM(C182:G182)</f>
        <v>17</v>
      </c>
      <c r="I182" s="59"/>
      <c r="J182" s="59"/>
      <c r="K182" s="59"/>
      <c r="L182" s="59"/>
      <c r="M182" s="59"/>
      <c r="N182" s="59"/>
      <c r="O182" s="59">
        <f>20+18.3+39+33+53</f>
        <v>163.30000000000001</v>
      </c>
      <c r="P182" s="59"/>
      <c r="Q182" s="59"/>
      <c r="R182" s="59"/>
      <c r="S182" s="59"/>
      <c r="T182" s="59"/>
      <c r="U182" s="59"/>
      <c r="V182" s="59">
        <v>5</v>
      </c>
      <c r="W182" s="59">
        <v>5</v>
      </c>
      <c r="X182" s="59">
        <v>7</v>
      </c>
      <c r="Y182" s="59">
        <f t="shared" ref="Y182:Y192" si="23">SUM(T182:X182)</f>
        <v>17</v>
      </c>
      <c r="Z182" s="59"/>
      <c r="AA182" s="59"/>
      <c r="AB182" s="59"/>
      <c r="AC182" s="59">
        <v>20</v>
      </c>
      <c r="AD182" s="59">
        <f t="shared" si="20"/>
        <v>20</v>
      </c>
      <c r="AE182" s="59">
        <v>18.3</v>
      </c>
      <c r="AF182" s="59">
        <v>39</v>
      </c>
      <c r="AG182" s="59">
        <v>33</v>
      </c>
      <c r="AH182" s="59">
        <v>53</v>
      </c>
      <c r="AI182" s="130">
        <f t="shared" si="21"/>
        <v>163.30000000000001</v>
      </c>
      <c r="AL182" s="116" t="s">
        <v>94</v>
      </c>
    </row>
    <row r="183" spans="1:38" ht="33">
      <c r="A183" s="138">
        <v>5</v>
      </c>
      <c r="B183" s="32" t="s">
        <v>95</v>
      </c>
      <c r="C183" s="59"/>
      <c r="D183" s="59"/>
      <c r="E183" s="59"/>
      <c r="F183" s="59"/>
      <c r="G183" s="59"/>
      <c r="H183" s="59">
        <f t="shared" si="22"/>
        <v>0</v>
      </c>
      <c r="I183" s="59"/>
      <c r="J183" s="59"/>
      <c r="K183" s="59"/>
      <c r="L183" s="59"/>
      <c r="M183" s="59"/>
      <c r="N183" s="59"/>
      <c r="O183" s="59">
        <v>32</v>
      </c>
      <c r="P183" s="59"/>
      <c r="Q183" s="59"/>
      <c r="R183" s="59"/>
      <c r="S183" s="59"/>
      <c r="T183" s="59">
        <f t="shared" ref="T183:T192" si="24">SUM(P183:S183)</f>
        <v>0</v>
      </c>
      <c r="U183" s="59"/>
      <c r="V183" s="59"/>
      <c r="W183" s="59"/>
      <c r="X183" s="59"/>
      <c r="Y183" s="59">
        <f t="shared" si="23"/>
        <v>0</v>
      </c>
      <c r="Z183" s="59"/>
      <c r="AA183" s="59"/>
      <c r="AB183" s="59"/>
      <c r="AC183" s="59"/>
      <c r="AD183" s="59">
        <f t="shared" si="20"/>
        <v>0</v>
      </c>
      <c r="AE183" s="59"/>
      <c r="AF183" s="59">
        <v>32</v>
      </c>
      <c r="AG183" s="59"/>
      <c r="AH183" s="59"/>
      <c r="AI183" s="130">
        <f t="shared" si="21"/>
        <v>32</v>
      </c>
      <c r="AL183" s="116" t="s">
        <v>95</v>
      </c>
    </row>
    <row r="184" spans="1:38" ht="49.5">
      <c r="A184" s="138">
        <v>6</v>
      </c>
      <c r="B184" s="32" t="s">
        <v>679</v>
      </c>
      <c r="C184" s="59"/>
      <c r="D184" s="59"/>
      <c r="E184" s="59"/>
      <c r="F184" s="59"/>
      <c r="G184" s="59"/>
      <c r="H184" s="59">
        <f t="shared" si="22"/>
        <v>0</v>
      </c>
      <c r="I184" s="59"/>
      <c r="J184" s="59"/>
      <c r="K184" s="59"/>
      <c r="L184" s="59"/>
      <c r="M184" s="59"/>
      <c r="N184" s="59"/>
      <c r="O184" s="59">
        <v>290</v>
      </c>
      <c r="P184" s="59"/>
      <c r="Q184" s="59"/>
      <c r="R184" s="59"/>
      <c r="S184" s="59"/>
      <c r="T184" s="59">
        <f t="shared" si="24"/>
        <v>0</v>
      </c>
      <c r="U184" s="59"/>
      <c r="V184" s="59"/>
      <c r="W184" s="59"/>
      <c r="X184" s="59"/>
      <c r="Y184" s="59">
        <f t="shared" si="23"/>
        <v>0</v>
      </c>
      <c r="Z184" s="59"/>
      <c r="AA184" s="59"/>
      <c r="AB184" s="59"/>
      <c r="AC184" s="59">
        <v>30</v>
      </c>
      <c r="AD184" s="59">
        <f t="shared" si="20"/>
        <v>30</v>
      </c>
      <c r="AE184" s="59">
        <v>50</v>
      </c>
      <c r="AF184" s="59">
        <v>70</v>
      </c>
      <c r="AG184" s="59">
        <v>70</v>
      </c>
      <c r="AH184" s="59">
        <v>70</v>
      </c>
      <c r="AI184" s="130">
        <f t="shared" si="21"/>
        <v>290</v>
      </c>
      <c r="AL184" s="116" t="s">
        <v>679</v>
      </c>
    </row>
    <row r="185" spans="1:38" ht="33">
      <c r="A185" s="138">
        <v>7</v>
      </c>
      <c r="B185" s="32" t="s">
        <v>117</v>
      </c>
      <c r="C185" s="59"/>
      <c r="D185" s="59"/>
      <c r="E185" s="59">
        <v>17</v>
      </c>
      <c r="F185" s="59"/>
      <c r="G185" s="59"/>
      <c r="H185" s="59">
        <f t="shared" si="22"/>
        <v>17</v>
      </c>
      <c r="I185" s="59"/>
      <c r="J185" s="59"/>
      <c r="K185" s="59"/>
      <c r="L185" s="59"/>
      <c r="M185" s="59"/>
      <c r="N185" s="59"/>
      <c r="O185" s="59">
        <v>25</v>
      </c>
      <c r="P185" s="59"/>
      <c r="Q185" s="59"/>
      <c r="R185" s="59"/>
      <c r="S185" s="59"/>
      <c r="T185" s="59">
        <f t="shared" si="24"/>
        <v>0</v>
      </c>
      <c r="U185" s="59"/>
      <c r="V185" s="59">
        <v>17</v>
      </c>
      <c r="W185" s="59"/>
      <c r="X185" s="59"/>
      <c r="Y185" s="59">
        <f t="shared" si="23"/>
        <v>17</v>
      </c>
      <c r="Z185" s="59"/>
      <c r="AA185" s="59"/>
      <c r="AB185" s="59"/>
      <c r="AC185" s="59"/>
      <c r="AD185" s="59">
        <f t="shared" si="20"/>
        <v>0</v>
      </c>
      <c r="AE185" s="59"/>
      <c r="AF185" s="59">
        <v>25</v>
      </c>
      <c r="AG185" s="59"/>
      <c r="AH185" s="59"/>
      <c r="AI185" s="130">
        <f t="shared" si="21"/>
        <v>25</v>
      </c>
      <c r="AL185" s="116" t="s">
        <v>117</v>
      </c>
    </row>
    <row r="186" spans="1:38" ht="66">
      <c r="A186" s="138">
        <v>8</v>
      </c>
      <c r="B186" s="32" t="s">
        <v>122</v>
      </c>
      <c r="C186" s="59"/>
      <c r="D186" s="59"/>
      <c r="E186" s="59"/>
      <c r="F186" s="59"/>
      <c r="G186" s="59">
        <v>22</v>
      </c>
      <c r="H186" s="59">
        <f t="shared" si="22"/>
        <v>22</v>
      </c>
      <c r="I186" s="59"/>
      <c r="J186" s="59"/>
      <c r="K186" s="59"/>
      <c r="L186" s="59"/>
      <c r="M186" s="59"/>
      <c r="N186" s="59"/>
      <c r="O186" s="59">
        <v>33</v>
      </c>
      <c r="P186" s="59"/>
      <c r="Q186" s="59"/>
      <c r="R186" s="59"/>
      <c r="S186" s="59"/>
      <c r="T186" s="59">
        <f t="shared" si="24"/>
        <v>0</v>
      </c>
      <c r="U186" s="59"/>
      <c r="V186" s="59"/>
      <c r="W186" s="59"/>
      <c r="X186" s="59">
        <v>22</v>
      </c>
      <c r="Y186" s="59">
        <f t="shared" si="23"/>
        <v>22</v>
      </c>
      <c r="Z186" s="59"/>
      <c r="AA186" s="59"/>
      <c r="AB186" s="59"/>
      <c r="AC186" s="59"/>
      <c r="AD186" s="59">
        <f t="shared" si="20"/>
        <v>0</v>
      </c>
      <c r="AE186" s="59"/>
      <c r="AF186" s="59"/>
      <c r="AG186" s="59"/>
      <c r="AH186" s="59">
        <v>33</v>
      </c>
      <c r="AI186" s="130">
        <f t="shared" si="21"/>
        <v>33</v>
      </c>
      <c r="AL186" s="116" t="s">
        <v>122</v>
      </c>
    </row>
    <row r="187" spans="1:38" ht="33">
      <c r="A187" s="138">
        <v>9</v>
      </c>
      <c r="B187" s="32" t="s">
        <v>129</v>
      </c>
      <c r="C187" s="59"/>
      <c r="D187" s="59"/>
      <c r="E187" s="59"/>
      <c r="F187" s="59"/>
      <c r="G187" s="59">
        <v>5</v>
      </c>
      <c r="H187" s="59">
        <f t="shared" si="22"/>
        <v>5</v>
      </c>
      <c r="I187" s="59"/>
      <c r="J187" s="59"/>
      <c r="K187" s="59"/>
      <c r="L187" s="59"/>
      <c r="M187" s="59"/>
      <c r="N187" s="59"/>
      <c r="O187" s="59">
        <v>63</v>
      </c>
      <c r="P187" s="59"/>
      <c r="Q187" s="59"/>
      <c r="R187" s="59"/>
      <c r="S187" s="59"/>
      <c r="T187" s="59">
        <f t="shared" si="24"/>
        <v>0</v>
      </c>
      <c r="U187" s="59"/>
      <c r="V187" s="59"/>
      <c r="W187" s="59"/>
      <c r="X187" s="59">
        <v>5</v>
      </c>
      <c r="Y187" s="59">
        <f t="shared" si="23"/>
        <v>5</v>
      </c>
      <c r="Z187" s="59"/>
      <c r="AA187" s="59"/>
      <c r="AB187" s="59"/>
      <c r="AC187" s="59"/>
      <c r="AD187" s="59">
        <f t="shared" si="20"/>
        <v>0</v>
      </c>
      <c r="AE187" s="59"/>
      <c r="AF187" s="59"/>
      <c r="AG187" s="59"/>
      <c r="AH187" s="59">
        <v>63</v>
      </c>
      <c r="AI187" s="130">
        <f t="shared" si="21"/>
        <v>63</v>
      </c>
      <c r="AL187" s="116" t="s">
        <v>129</v>
      </c>
    </row>
    <row r="188" spans="1:38" ht="66">
      <c r="A188" s="138">
        <v>10</v>
      </c>
      <c r="B188" s="32" t="s">
        <v>89</v>
      </c>
      <c r="C188" s="59"/>
      <c r="D188" s="59"/>
      <c r="E188" s="59"/>
      <c r="F188" s="59"/>
      <c r="G188" s="59"/>
      <c r="H188" s="59">
        <f t="shared" si="22"/>
        <v>0</v>
      </c>
      <c r="I188" s="59"/>
      <c r="J188" s="59"/>
      <c r="K188" s="59"/>
      <c r="L188" s="59"/>
      <c r="M188" s="59"/>
      <c r="N188" s="59"/>
      <c r="O188" s="59">
        <f>86+113</f>
        <v>199</v>
      </c>
      <c r="P188" s="59"/>
      <c r="Q188" s="59"/>
      <c r="R188" s="59"/>
      <c r="S188" s="59"/>
      <c r="T188" s="59">
        <f t="shared" si="24"/>
        <v>0</v>
      </c>
      <c r="U188" s="59"/>
      <c r="V188" s="59"/>
      <c r="W188" s="59"/>
      <c r="X188" s="59"/>
      <c r="Y188" s="59">
        <f t="shared" si="23"/>
        <v>0</v>
      </c>
      <c r="Z188" s="59"/>
      <c r="AA188" s="59"/>
      <c r="AB188" s="59"/>
      <c r="AC188" s="59">
        <v>86</v>
      </c>
      <c r="AD188" s="59">
        <f t="shared" si="20"/>
        <v>86</v>
      </c>
      <c r="AE188" s="59">
        <v>113</v>
      </c>
      <c r="AF188" s="59"/>
      <c r="AG188" s="59"/>
      <c r="AH188" s="59"/>
      <c r="AI188" s="130">
        <f t="shared" si="21"/>
        <v>199</v>
      </c>
      <c r="AL188" s="116" t="s">
        <v>89</v>
      </c>
    </row>
    <row r="189" spans="1:38" ht="49.5">
      <c r="A189" s="138">
        <v>11</v>
      </c>
      <c r="B189" s="32" t="s">
        <v>83</v>
      </c>
      <c r="C189" s="59">
        <v>2.2000000000000002</v>
      </c>
      <c r="D189" s="59"/>
      <c r="E189" s="59"/>
      <c r="F189" s="59"/>
      <c r="G189" s="59"/>
      <c r="H189" s="59">
        <f t="shared" si="22"/>
        <v>2.2000000000000002</v>
      </c>
      <c r="I189" s="59"/>
      <c r="J189" s="59"/>
      <c r="K189" s="59"/>
      <c r="L189" s="59"/>
      <c r="M189" s="59"/>
      <c r="N189" s="59"/>
      <c r="O189" s="59">
        <v>12</v>
      </c>
      <c r="P189" s="59"/>
      <c r="Q189" s="59"/>
      <c r="R189" s="59"/>
      <c r="S189" s="59">
        <v>2.2000000000000002</v>
      </c>
      <c r="T189" s="59">
        <f t="shared" si="24"/>
        <v>2.2000000000000002</v>
      </c>
      <c r="U189" s="59"/>
      <c r="V189" s="59"/>
      <c r="W189" s="59"/>
      <c r="X189" s="59"/>
      <c r="Y189" s="59">
        <f t="shared" si="23"/>
        <v>2.2000000000000002</v>
      </c>
      <c r="Z189" s="59"/>
      <c r="AA189" s="59"/>
      <c r="AB189" s="59"/>
      <c r="AC189" s="59">
        <v>12</v>
      </c>
      <c r="AD189" s="59">
        <f t="shared" si="20"/>
        <v>12</v>
      </c>
      <c r="AE189" s="59"/>
      <c r="AF189" s="59"/>
      <c r="AG189" s="59"/>
      <c r="AH189" s="59"/>
      <c r="AI189" s="130">
        <f t="shared" si="21"/>
        <v>12</v>
      </c>
      <c r="AL189" s="116" t="s">
        <v>83</v>
      </c>
    </row>
    <row r="190" spans="1:38" ht="49.5">
      <c r="A190" s="138">
        <v>12</v>
      </c>
      <c r="B190" s="32" t="s">
        <v>84</v>
      </c>
      <c r="C190" s="59">
        <v>5</v>
      </c>
      <c r="D190" s="59"/>
      <c r="E190" s="59"/>
      <c r="F190" s="59"/>
      <c r="G190" s="59"/>
      <c r="H190" s="59">
        <f t="shared" si="22"/>
        <v>5</v>
      </c>
      <c r="I190" s="59"/>
      <c r="J190" s="59"/>
      <c r="K190" s="59"/>
      <c r="L190" s="59"/>
      <c r="M190" s="59"/>
      <c r="N190" s="59"/>
      <c r="O190" s="59">
        <v>64</v>
      </c>
      <c r="P190" s="59"/>
      <c r="Q190" s="59"/>
      <c r="R190" s="59">
        <v>5</v>
      </c>
      <c r="S190" s="59"/>
      <c r="T190" s="59">
        <f t="shared" si="24"/>
        <v>5</v>
      </c>
      <c r="U190" s="59"/>
      <c r="V190" s="59"/>
      <c r="W190" s="59"/>
      <c r="X190" s="59"/>
      <c r="Y190" s="59">
        <f t="shared" si="23"/>
        <v>5</v>
      </c>
      <c r="Z190" s="59"/>
      <c r="AA190" s="59"/>
      <c r="AB190" s="59">
        <v>64</v>
      </c>
      <c r="AC190" s="59"/>
      <c r="AD190" s="59">
        <f t="shared" si="20"/>
        <v>64</v>
      </c>
      <c r="AE190" s="59"/>
      <c r="AF190" s="59"/>
      <c r="AG190" s="59"/>
      <c r="AH190" s="59"/>
      <c r="AI190" s="130">
        <f t="shared" si="21"/>
        <v>64</v>
      </c>
      <c r="AL190" s="116" t="s">
        <v>84</v>
      </c>
    </row>
    <row r="191" spans="1:38" ht="49.5">
      <c r="A191" s="138">
        <v>13</v>
      </c>
      <c r="B191" s="32" t="s">
        <v>703</v>
      </c>
      <c r="C191" s="59">
        <v>30</v>
      </c>
      <c r="D191" s="59">
        <v>30</v>
      </c>
      <c r="E191" s="59">
        <v>30</v>
      </c>
      <c r="F191" s="59">
        <v>30</v>
      </c>
      <c r="G191" s="59">
        <v>30</v>
      </c>
      <c r="H191" s="59">
        <f t="shared" si="22"/>
        <v>150</v>
      </c>
      <c r="I191" s="59"/>
      <c r="J191" s="59"/>
      <c r="K191" s="59"/>
      <c r="L191" s="59"/>
      <c r="M191" s="59"/>
      <c r="N191" s="59"/>
      <c r="O191" s="59">
        <v>975</v>
      </c>
      <c r="P191" s="59"/>
      <c r="Q191" s="59">
        <v>15</v>
      </c>
      <c r="R191" s="59"/>
      <c r="S191" s="59">
        <v>15</v>
      </c>
      <c r="T191" s="59">
        <f t="shared" si="24"/>
        <v>30</v>
      </c>
      <c r="U191" s="59">
        <v>30</v>
      </c>
      <c r="V191" s="59">
        <v>30</v>
      </c>
      <c r="W191" s="59">
        <v>30</v>
      </c>
      <c r="X191" s="59">
        <v>30</v>
      </c>
      <c r="Y191" s="59">
        <f t="shared" si="23"/>
        <v>150</v>
      </c>
      <c r="Z191" s="59"/>
      <c r="AA191" s="59">
        <v>97.5</v>
      </c>
      <c r="AB191" s="59"/>
      <c r="AC191" s="59">
        <v>97.5</v>
      </c>
      <c r="AD191" s="59">
        <f t="shared" si="20"/>
        <v>195</v>
      </c>
      <c r="AE191" s="59">
        <v>195</v>
      </c>
      <c r="AF191" s="59">
        <v>195</v>
      </c>
      <c r="AG191" s="59">
        <v>195</v>
      </c>
      <c r="AH191" s="59">
        <v>195</v>
      </c>
      <c r="AI191" s="130">
        <f t="shared" si="21"/>
        <v>975</v>
      </c>
      <c r="AL191" s="116" t="s">
        <v>703</v>
      </c>
    </row>
    <row r="192" spans="1:38" ht="49.5">
      <c r="A192" s="138">
        <v>14</v>
      </c>
      <c r="B192" s="32" t="s">
        <v>100</v>
      </c>
      <c r="C192" s="59"/>
      <c r="D192" s="59">
        <v>63</v>
      </c>
      <c r="E192" s="59"/>
      <c r="F192" s="59"/>
      <c r="G192" s="59"/>
      <c r="H192" s="59">
        <f t="shared" si="22"/>
        <v>63</v>
      </c>
      <c r="I192" s="59"/>
      <c r="J192" s="59"/>
      <c r="K192" s="59"/>
      <c r="L192" s="59"/>
      <c r="M192" s="59"/>
      <c r="N192" s="59"/>
      <c r="O192" s="59">
        <v>130.404</v>
      </c>
      <c r="P192" s="59"/>
      <c r="Q192" s="59"/>
      <c r="R192" s="59"/>
      <c r="S192" s="59"/>
      <c r="T192" s="59">
        <f t="shared" si="24"/>
        <v>0</v>
      </c>
      <c r="U192" s="59">
        <v>63</v>
      </c>
      <c r="V192" s="59"/>
      <c r="W192" s="59"/>
      <c r="X192" s="59"/>
      <c r="Y192" s="59">
        <f t="shared" si="23"/>
        <v>63</v>
      </c>
      <c r="Z192" s="59"/>
      <c r="AA192" s="59"/>
      <c r="AB192" s="59"/>
      <c r="AC192" s="59"/>
      <c r="AD192" s="59">
        <f t="shared" si="20"/>
        <v>0</v>
      </c>
      <c r="AE192" s="59">
        <v>130.404</v>
      </c>
      <c r="AF192" s="59"/>
      <c r="AG192" s="59"/>
      <c r="AH192" s="59"/>
      <c r="AI192" s="130">
        <f t="shared" si="21"/>
        <v>130.404</v>
      </c>
      <c r="AL192" s="116" t="s">
        <v>100</v>
      </c>
    </row>
    <row r="193" spans="1:38" ht="16.5">
      <c r="A193" s="138">
        <v>15</v>
      </c>
      <c r="B193" s="137" t="s">
        <v>265</v>
      </c>
      <c r="C193" s="58"/>
      <c r="D193" s="58"/>
      <c r="E193" s="58"/>
      <c r="F193" s="63">
        <v>18</v>
      </c>
      <c r="G193" s="63">
        <v>18</v>
      </c>
      <c r="H193" s="58">
        <v>36</v>
      </c>
      <c r="I193" s="59"/>
      <c r="J193" s="59"/>
      <c r="K193" s="59"/>
      <c r="L193" s="59"/>
      <c r="M193" s="59"/>
      <c r="N193" s="59"/>
      <c r="O193" s="59">
        <v>120</v>
      </c>
      <c r="P193" s="59"/>
      <c r="Q193" s="59"/>
      <c r="R193" s="59"/>
      <c r="S193" s="59"/>
      <c r="T193" s="58"/>
      <c r="U193" s="58"/>
      <c r="V193" s="58"/>
      <c r="W193" s="63">
        <v>18</v>
      </c>
      <c r="X193" s="63">
        <v>18</v>
      </c>
      <c r="Y193" s="58">
        <v>36</v>
      </c>
      <c r="Z193" s="59"/>
      <c r="AA193" s="59"/>
      <c r="AB193" s="59"/>
      <c r="AC193" s="59"/>
      <c r="AD193" s="59"/>
      <c r="AE193" s="59"/>
      <c r="AF193" s="59"/>
      <c r="AG193" s="59">
        <v>60</v>
      </c>
      <c r="AH193" s="59">
        <v>60</v>
      </c>
      <c r="AI193" s="130">
        <f t="shared" ref="AI193:AI207" si="25">SUM(AD193:AH193)</f>
        <v>120</v>
      </c>
      <c r="AL193" s="122" t="s">
        <v>265</v>
      </c>
    </row>
    <row r="194" spans="1:38" ht="16.5">
      <c r="A194" s="138">
        <v>16</v>
      </c>
      <c r="B194" s="137" t="s">
        <v>268</v>
      </c>
      <c r="C194" s="58">
        <v>48</v>
      </c>
      <c r="D194" s="58">
        <v>36</v>
      </c>
      <c r="E194" s="58"/>
      <c r="F194" s="58"/>
      <c r="G194" s="58"/>
      <c r="H194" s="58">
        <v>84</v>
      </c>
      <c r="I194" s="59"/>
      <c r="J194" s="59"/>
      <c r="K194" s="59"/>
      <c r="L194" s="59"/>
      <c r="M194" s="59"/>
      <c r="N194" s="59"/>
      <c r="O194" s="59">
        <v>215</v>
      </c>
      <c r="P194" s="59"/>
      <c r="Q194" s="59"/>
      <c r="R194" s="59"/>
      <c r="S194" s="59">
        <v>48</v>
      </c>
      <c r="T194" s="58">
        <v>48</v>
      </c>
      <c r="U194" s="58">
        <v>36</v>
      </c>
      <c r="V194" s="58"/>
      <c r="W194" s="58"/>
      <c r="X194" s="58"/>
      <c r="Y194" s="58">
        <v>84</v>
      </c>
      <c r="Z194" s="59"/>
      <c r="AA194" s="59"/>
      <c r="AB194" s="59"/>
      <c r="AC194" s="59">
        <v>105</v>
      </c>
      <c r="AD194" s="59">
        <v>105</v>
      </c>
      <c r="AE194" s="59">
        <v>110</v>
      </c>
      <c r="AF194" s="59"/>
      <c r="AG194" s="59"/>
      <c r="AH194" s="59"/>
      <c r="AI194" s="130">
        <f t="shared" si="25"/>
        <v>215</v>
      </c>
      <c r="AL194" s="122" t="s">
        <v>268</v>
      </c>
    </row>
    <row r="195" spans="1:38" ht="33">
      <c r="A195" s="138">
        <v>17</v>
      </c>
      <c r="B195" s="137" t="s">
        <v>279</v>
      </c>
      <c r="C195" s="58"/>
      <c r="D195" s="58"/>
      <c r="E195" s="58">
        <v>4.3</v>
      </c>
      <c r="F195" s="58"/>
      <c r="G195" s="58"/>
      <c r="H195" s="58">
        <v>4.3</v>
      </c>
      <c r="I195" s="59"/>
      <c r="J195" s="59"/>
      <c r="K195" s="59"/>
      <c r="L195" s="59"/>
      <c r="M195" s="59"/>
      <c r="N195" s="59"/>
      <c r="O195" s="59">
        <v>31</v>
      </c>
      <c r="P195" s="59"/>
      <c r="Q195" s="59"/>
      <c r="R195" s="59"/>
      <c r="S195" s="59"/>
      <c r="T195" s="58"/>
      <c r="U195" s="58"/>
      <c r="V195" s="58">
        <v>4.3</v>
      </c>
      <c r="W195" s="58"/>
      <c r="X195" s="58"/>
      <c r="Y195" s="58">
        <v>4.3</v>
      </c>
      <c r="Z195" s="59"/>
      <c r="AA195" s="59"/>
      <c r="AB195" s="59"/>
      <c r="AC195" s="59"/>
      <c r="AD195" s="59"/>
      <c r="AE195" s="59"/>
      <c r="AF195" s="59">
        <v>31</v>
      </c>
      <c r="AG195" s="59"/>
      <c r="AH195" s="59"/>
      <c r="AI195" s="130">
        <f t="shared" si="25"/>
        <v>31</v>
      </c>
      <c r="AL195" s="122" t="s">
        <v>279</v>
      </c>
    </row>
    <row r="196" spans="1:38" ht="33">
      <c r="A196" s="138">
        <v>18</v>
      </c>
      <c r="B196" s="137" t="s">
        <v>286</v>
      </c>
      <c r="C196" s="58">
        <v>1.5</v>
      </c>
      <c r="D196" s="58"/>
      <c r="E196" s="58"/>
      <c r="F196" s="58"/>
      <c r="G196" s="58"/>
      <c r="H196" s="58">
        <v>1.5</v>
      </c>
      <c r="I196" s="59"/>
      <c r="J196" s="59"/>
      <c r="K196" s="59"/>
      <c r="L196" s="59"/>
      <c r="M196" s="59"/>
      <c r="N196" s="59"/>
      <c r="O196" s="59">
        <v>20</v>
      </c>
      <c r="P196" s="59"/>
      <c r="Q196" s="59"/>
      <c r="R196" s="59"/>
      <c r="S196" s="59">
        <v>1.5</v>
      </c>
      <c r="T196" s="58">
        <v>1.5</v>
      </c>
      <c r="U196" s="58"/>
      <c r="V196" s="58"/>
      <c r="W196" s="58"/>
      <c r="X196" s="58"/>
      <c r="Y196" s="58">
        <v>1.5</v>
      </c>
      <c r="Z196" s="59"/>
      <c r="AA196" s="59"/>
      <c r="AB196" s="59"/>
      <c r="AC196" s="59">
        <v>10</v>
      </c>
      <c r="AD196" s="59">
        <v>10</v>
      </c>
      <c r="AE196" s="59">
        <v>10</v>
      </c>
      <c r="AF196" s="59"/>
      <c r="AG196" s="59"/>
      <c r="AH196" s="59"/>
      <c r="AI196" s="130">
        <f t="shared" si="25"/>
        <v>20</v>
      </c>
      <c r="AL196" s="122" t="s">
        <v>286</v>
      </c>
    </row>
    <row r="197" spans="1:38" ht="82.5">
      <c r="A197" s="138">
        <v>19</v>
      </c>
      <c r="B197" s="137" t="s">
        <v>291</v>
      </c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>
        <v>35</v>
      </c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>
        <v>20</v>
      </c>
      <c r="AD197" s="59">
        <v>20</v>
      </c>
      <c r="AE197" s="59">
        <v>15</v>
      </c>
      <c r="AF197" s="59"/>
      <c r="AG197" s="59"/>
      <c r="AH197" s="59"/>
      <c r="AI197" s="130">
        <f t="shared" si="25"/>
        <v>35</v>
      </c>
      <c r="AL197" s="122" t="s">
        <v>291</v>
      </c>
    </row>
    <row r="198" spans="1:38" ht="66">
      <c r="A198" s="138">
        <v>20</v>
      </c>
      <c r="B198" s="137" t="s">
        <v>292</v>
      </c>
      <c r="C198" s="58">
        <v>10</v>
      </c>
      <c r="D198" s="58">
        <v>10</v>
      </c>
      <c r="E198" s="58"/>
      <c r="F198" s="58"/>
      <c r="G198" s="58"/>
      <c r="H198" s="58">
        <v>20</v>
      </c>
      <c r="I198" s="59"/>
      <c r="J198" s="59"/>
      <c r="K198" s="59"/>
      <c r="L198" s="59"/>
      <c r="M198" s="59"/>
      <c r="N198" s="59"/>
      <c r="O198" s="59">
        <v>100</v>
      </c>
      <c r="P198" s="59"/>
      <c r="Q198" s="59"/>
      <c r="R198" s="59"/>
      <c r="S198" s="59">
        <v>10</v>
      </c>
      <c r="T198" s="58">
        <v>10</v>
      </c>
      <c r="U198" s="58">
        <v>10</v>
      </c>
      <c r="V198" s="58"/>
      <c r="W198" s="58"/>
      <c r="X198" s="58"/>
      <c r="Y198" s="58">
        <v>20</v>
      </c>
      <c r="Z198" s="59"/>
      <c r="AA198" s="59"/>
      <c r="AB198" s="59"/>
      <c r="AC198" s="59">
        <v>50</v>
      </c>
      <c r="AD198" s="59">
        <v>50</v>
      </c>
      <c r="AE198" s="59">
        <v>50</v>
      </c>
      <c r="AF198" s="59"/>
      <c r="AG198" s="59"/>
      <c r="AH198" s="59"/>
      <c r="AI198" s="130">
        <f t="shared" si="25"/>
        <v>100</v>
      </c>
      <c r="AL198" s="122" t="s">
        <v>292</v>
      </c>
    </row>
    <row r="199" spans="1:38" ht="16.5">
      <c r="A199" s="138">
        <v>21</v>
      </c>
      <c r="B199" s="32" t="s">
        <v>716</v>
      </c>
      <c r="C199" s="58">
        <v>2</v>
      </c>
      <c r="D199" s="58">
        <v>2</v>
      </c>
      <c r="E199" s="58">
        <v>2</v>
      </c>
      <c r="F199" s="58">
        <v>2</v>
      </c>
      <c r="G199" s="58">
        <v>2</v>
      </c>
      <c r="H199" s="58">
        <v>10</v>
      </c>
      <c r="I199" s="59"/>
      <c r="J199" s="59"/>
      <c r="K199" s="59"/>
      <c r="L199" s="59"/>
      <c r="M199" s="59"/>
      <c r="N199" s="59"/>
      <c r="O199" s="59">
        <v>101</v>
      </c>
      <c r="P199" s="59"/>
      <c r="Q199" s="59"/>
      <c r="R199" s="59"/>
      <c r="S199" s="59">
        <v>2</v>
      </c>
      <c r="T199" s="58">
        <v>2</v>
      </c>
      <c r="U199" s="58">
        <v>2</v>
      </c>
      <c r="V199" s="58">
        <v>2</v>
      </c>
      <c r="W199" s="58">
        <v>2</v>
      </c>
      <c r="X199" s="58">
        <v>2</v>
      </c>
      <c r="Y199" s="58">
        <v>10</v>
      </c>
      <c r="Z199" s="59"/>
      <c r="AA199" s="59"/>
      <c r="AB199" s="59"/>
      <c r="AC199" s="59">
        <v>8</v>
      </c>
      <c r="AD199" s="59">
        <v>8</v>
      </c>
      <c r="AE199" s="59">
        <v>18</v>
      </c>
      <c r="AF199" s="59">
        <v>29</v>
      </c>
      <c r="AG199" s="59">
        <v>16</v>
      </c>
      <c r="AH199" s="59">
        <v>30</v>
      </c>
      <c r="AI199" s="130">
        <f t="shared" si="25"/>
        <v>101</v>
      </c>
      <c r="AL199" s="116" t="s">
        <v>716</v>
      </c>
    </row>
    <row r="200" spans="1:38" ht="16.5">
      <c r="A200" s="138">
        <v>22</v>
      </c>
      <c r="B200" s="139" t="s">
        <v>304</v>
      </c>
      <c r="C200" s="58">
        <v>4</v>
      </c>
      <c r="D200" s="58">
        <v>4</v>
      </c>
      <c r="E200" s="58">
        <v>4</v>
      </c>
      <c r="F200" s="58">
        <v>4</v>
      </c>
      <c r="G200" s="58">
        <v>4</v>
      </c>
      <c r="H200" s="58">
        <v>20</v>
      </c>
      <c r="I200" s="59"/>
      <c r="J200" s="59"/>
      <c r="K200" s="59"/>
      <c r="L200" s="59"/>
      <c r="M200" s="59"/>
      <c r="N200" s="59"/>
      <c r="O200" s="59">
        <v>150</v>
      </c>
      <c r="P200" s="59"/>
      <c r="Q200" s="59"/>
      <c r="R200" s="59"/>
      <c r="S200" s="59">
        <v>4</v>
      </c>
      <c r="T200" s="58">
        <v>4</v>
      </c>
      <c r="U200" s="58">
        <v>4</v>
      </c>
      <c r="V200" s="58">
        <v>4</v>
      </c>
      <c r="W200" s="58">
        <v>4</v>
      </c>
      <c r="X200" s="58">
        <v>4</v>
      </c>
      <c r="Y200" s="58">
        <v>20</v>
      </c>
      <c r="Z200" s="59"/>
      <c r="AA200" s="59"/>
      <c r="AB200" s="59"/>
      <c r="AC200" s="59">
        <v>30</v>
      </c>
      <c r="AD200" s="59">
        <v>30</v>
      </c>
      <c r="AE200" s="59">
        <v>30</v>
      </c>
      <c r="AF200" s="59">
        <v>30</v>
      </c>
      <c r="AG200" s="59">
        <v>30</v>
      </c>
      <c r="AH200" s="59">
        <v>30</v>
      </c>
      <c r="AI200" s="130">
        <f t="shared" si="25"/>
        <v>150</v>
      </c>
      <c r="AL200" s="122" t="s">
        <v>304</v>
      </c>
    </row>
    <row r="201" spans="1:38" ht="16.5">
      <c r="A201" s="138">
        <v>23</v>
      </c>
      <c r="B201" s="137" t="s">
        <v>306</v>
      </c>
      <c r="C201" s="58"/>
      <c r="D201" s="58"/>
      <c r="E201" s="58"/>
      <c r="F201" s="58"/>
      <c r="G201" s="58">
        <v>40</v>
      </c>
      <c r="H201" s="58">
        <v>40</v>
      </c>
      <c r="I201" s="59"/>
      <c r="J201" s="59"/>
      <c r="K201" s="59"/>
      <c r="L201" s="59"/>
      <c r="M201" s="59"/>
      <c r="N201" s="59"/>
      <c r="O201" s="59">
        <v>160</v>
      </c>
      <c r="P201" s="59"/>
      <c r="Q201" s="59"/>
      <c r="R201" s="59"/>
      <c r="S201" s="59"/>
      <c r="T201" s="58"/>
      <c r="U201" s="58"/>
      <c r="V201" s="58"/>
      <c r="W201" s="58"/>
      <c r="X201" s="58">
        <v>40</v>
      </c>
      <c r="Y201" s="58">
        <v>40</v>
      </c>
      <c r="Z201" s="59"/>
      <c r="AA201" s="59"/>
      <c r="AB201" s="59"/>
      <c r="AC201" s="59"/>
      <c r="AD201" s="59"/>
      <c r="AE201" s="59"/>
      <c r="AF201" s="59"/>
      <c r="AG201" s="59"/>
      <c r="AH201" s="59">
        <v>160</v>
      </c>
      <c r="AI201" s="130">
        <f t="shared" si="25"/>
        <v>160</v>
      </c>
      <c r="AL201" s="122" t="s">
        <v>306</v>
      </c>
    </row>
    <row r="202" spans="1:38" ht="33">
      <c r="A202" s="138">
        <v>24</v>
      </c>
      <c r="B202" s="137" t="s">
        <v>309</v>
      </c>
      <c r="C202" s="58"/>
      <c r="D202" s="58"/>
      <c r="E202" s="58"/>
      <c r="F202" s="58"/>
      <c r="G202" s="58">
        <v>10</v>
      </c>
      <c r="H202" s="58">
        <v>10</v>
      </c>
      <c r="I202" s="59"/>
      <c r="J202" s="59"/>
      <c r="K202" s="59"/>
      <c r="L202" s="59"/>
      <c r="M202" s="59"/>
      <c r="N202" s="59"/>
      <c r="O202" s="59">
        <v>40</v>
      </c>
      <c r="P202" s="59"/>
      <c r="Q202" s="59"/>
      <c r="R202" s="59"/>
      <c r="S202" s="59"/>
      <c r="T202" s="58"/>
      <c r="U202" s="58"/>
      <c r="V202" s="58"/>
      <c r="W202" s="58"/>
      <c r="X202" s="58">
        <v>10</v>
      </c>
      <c r="Y202" s="58">
        <v>10</v>
      </c>
      <c r="Z202" s="59"/>
      <c r="AA202" s="59"/>
      <c r="AB202" s="59"/>
      <c r="AC202" s="59"/>
      <c r="AD202" s="59"/>
      <c r="AE202" s="59"/>
      <c r="AF202" s="59"/>
      <c r="AG202" s="59"/>
      <c r="AH202" s="59">
        <v>40</v>
      </c>
      <c r="AI202" s="130">
        <f t="shared" si="25"/>
        <v>40</v>
      </c>
      <c r="AL202" s="122" t="s">
        <v>309</v>
      </c>
    </row>
    <row r="203" spans="1:38" ht="33">
      <c r="A203" s="138">
        <v>25</v>
      </c>
      <c r="B203" s="137" t="s">
        <v>312</v>
      </c>
      <c r="C203" s="58"/>
      <c r="D203" s="58"/>
      <c r="E203" s="58"/>
      <c r="F203" s="58"/>
      <c r="G203" s="58">
        <v>40</v>
      </c>
      <c r="H203" s="58">
        <v>40</v>
      </c>
      <c r="I203" s="59"/>
      <c r="J203" s="59"/>
      <c r="K203" s="59"/>
      <c r="L203" s="59"/>
      <c r="M203" s="59"/>
      <c r="N203" s="59"/>
      <c r="O203" s="59">
        <v>150</v>
      </c>
      <c r="P203" s="59"/>
      <c r="Q203" s="59"/>
      <c r="R203" s="59"/>
      <c r="S203" s="59"/>
      <c r="T203" s="58"/>
      <c r="U203" s="58"/>
      <c r="V203" s="58"/>
      <c r="W203" s="58"/>
      <c r="X203" s="58">
        <v>40</v>
      </c>
      <c r="Y203" s="58">
        <v>40</v>
      </c>
      <c r="Z203" s="59"/>
      <c r="AA203" s="59"/>
      <c r="AB203" s="59"/>
      <c r="AC203" s="59"/>
      <c r="AD203" s="59"/>
      <c r="AE203" s="59"/>
      <c r="AF203" s="59"/>
      <c r="AG203" s="59"/>
      <c r="AH203" s="59">
        <v>150</v>
      </c>
      <c r="AI203" s="130">
        <f t="shared" si="25"/>
        <v>150</v>
      </c>
      <c r="AL203" s="122" t="s">
        <v>312</v>
      </c>
    </row>
    <row r="204" spans="1:38" ht="49.5">
      <c r="A204" s="138">
        <v>26</v>
      </c>
      <c r="B204" s="137" t="s">
        <v>315</v>
      </c>
      <c r="C204" s="58"/>
      <c r="D204" s="58">
        <v>2.2000000000000002</v>
      </c>
      <c r="E204" s="58"/>
      <c r="F204" s="58"/>
      <c r="G204" s="58"/>
      <c r="H204" s="58">
        <v>2.2000000000000002</v>
      </c>
      <c r="I204" s="59"/>
      <c r="J204" s="59"/>
      <c r="K204" s="59"/>
      <c r="L204" s="59"/>
      <c r="M204" s="59"/>
      <c r="N204" s="59"/>
      <c r="O204" s="59">
        <v>26</v>
      </c>
      <c r="P204" s="59"/>
      <c r="Q204" s="59"/>
      <c r="R204" s="59"/>
      <c r="S204" s="59"/>
      <c r="T204" s="58"/>
      <c r="U204" s="58">
        <v>2.2000000000000002</v>
      </c>
      <c r="V204" s="58"/>
      <c r="W204" s="58"/>
      <c r="X204" s="58"/>
      <c r="Y204" s="58">
        <v>2.2000000000000002</v>
      </c>
      <c r="Z204" s="59"/>
      <c r="AA204" s="59"/>
      <c r="AB204" s="59"/>
      <c r="AC204" s="59"/>
      <c r="AD204" s="59"/>
      <c r="AE204" s="59">
        <v>26</v>
      </c>
      <c r="AF204" s="59"/>
      <c r="AG204" s="59"/>
      <c r="AH204" s="59"/>
      <c r="AI204" s="130">
        <f t="shared" ref="AI204:AI205" si="26">SUM(AD204:AH204)</f>
        <v>26</v>
      </c>
      <c r="AL204" s="122" t="s">
        <v>315</v>
      </c>
    </row>
    <row r="205" spans="1:38" ht="49.5">
      <c r="A205" s="138">
        <v>27</v>
      </c>
      <c r="B205" s="137" t="s">
        <v>317</v>
      </c>
      <c r="C205" s="58"/>
      <c r="D205" s="63">
        <v>12</v>
      </c>
      <c r="E205" s="63"/>
      <c r="F205" s="63"/>
      <c r="G205" s="58"/>
      <c r="H205" s="58">
        <v>12</v>
      </c>
      <c r="I205" s="59"/>
      <c r="J205" s="59"/>
      <c r="K205" s="59"/>
      <c r="L205" s="59"/>
      <c r="M205" s="59"/>
      <c r="N205" s="59"/>
      <c r="O205" s="59">
        <v>108</v>
      </c>
      <c r="P205" s="59"/>
      <c r="Q205" s="59"/>
      <c r="R205" s="59"/>
      <c r="S205" s="59"/>
      <c r="T205" s="58"/>
      <c r="U205" s="63">
        <v>12</v>
      </c>
      <c r="V205" s="63"/>
      <c r="W205" s="63"/>
      <c r="X205" s="58"/>
      <c r="Y205" s="58">
        <v>12</v>
      </c>
      <c r="Z205" s="59"/>
      <c r="AA205" s="59"/>
      <c r="AB205" s="59"/>
      <c r="AC205" s="59"/>
      <c r="AD205" s="59"/>
      <c r="AE205" s="59">
        <v>108</v>
      </c>
      <c r="AF205" s="59"/>
      <c r="AG205" s="59"/>
      <c r="AH205" s="59"/>
      <c r="AI205" s="130">
        <f t="shared" si="26"/>
        <v>108</v>
      </c>
      <c r="AL205" s="122" t="s">
        <v>317</v>
      </c>
    </row>
    <row r="206" spans="1:38" ht="33">
      <c r="A206" s="138">
        <v>28</v>
      </c>
      <c r="B206" s="137" t="s">
        <v>648</v>
      </c>
      <c r="C206" s="58"/>
      <c r="D206" s="58"/>
      <c r="E206" s="58"/>
      <c r="F206" s="58"/>
      <c r="G206" s="58"/>
      <c r="H206" s="58"/>
      <c r="I206" s="59"/>
      <c r="J206" s="59"/>
      <c r="K206" s="59"/>
      <c r="L206" s="59"/>
      <c r="M206" s="59"/>
      <c r="N206" s="59"/>
      <c r="O206" s="59">
        <v>10</v>
      </c>
      <c r="P206" s="59"/>
      <c r="Q206" s="59"/>
      <c r="R206" s="59"/>
      <c r="S206" s="59"/>
      <c r="T206" s="58"/>
      <c r="U206" s="58"/>
      <c r="V206" s="58"/>
      <c r="W206" s="58"/>
      <c r="X206" s="58"/>
      <c r="Y206" s="58"/>
      <c r="Z206" s="59"/>
      <c r="AA206" s="59"/>
      <c r="AB206" s="59"/>
      <c r="AC206" s="59">
        <v>10</v>
      </c>
      <c r="AD206" s="59">
        <v>10</v>
      </c>
      <c r="AE206" s="59"/>
      <c r="AF206" s="59"/>
      <c r="AG206" s="59"/>
      <c r="AH206" s="59"/>
      <c r="AI206" s="130">
        <f t="shared" si="25"/>
        <v>10</v>
      </c>
      <c r="AL206" s="122" t="s">
        <v>648</v>
      </c>
    </row>
    <row r="207" spans="1:38" ht="49.5">
      <c r="A207" s="138">
        <v>29</v>
      </c>
      <c r="B207" s="137" t="s">
        <v>319</v>
      </c>
      <c r="C207" s="58"/>
      <c r="D207" s="58"/>
      <c r="E207" s="63">
        <v>45</v>
      </c>
      <c r="F207" s="63">
        <v>20</v>
      </c>
      <c r="G207" s="63">
        <v>50</v>
      </c>
      <c r="H207" s="63">
        <v>115</v>
      </c>
      <c r="I207" s="59"/>
      <c r="J207" s="59"/>
      <c r="K207" s="59"/>
      <c r="L207" s="59"/>
      <c r="M207" s="59"/>
      <c r="N207" s="59"/>
      <c r="O207" s="59">
        <v>700</v>
      </c>
      <c r="P207" s="59"/>
      <c r="Q207" s="59"/>
      <c r="R207" s="59"/>
      <c r="S207" s="59"/>
      <c r="T207" s="58"/>
      <c r="U207" s="58"/>
      <c r="V207" s="63">
        <v>45</v>
      </c>
      <c r="W207" s="63">
        <v>20</v>
      </c>
      <c r="X207" s="63">
        <v>50</v>
      </c>
      <c r="Y207" s="63">
        <v>115</v>
      </c>
      <c r="Z207" s="59"/>
      <c r="AA207" s="59"/>
      <c r="AB207" s="59"/>
      <c r="AC207" s="59"/>
      <c r="AD207" s="59"/>
      <c r="AE207" s="59"/>
      <c r="AF207" s="59">
        <v>250</v>
      </c>
      <c r="AG207" s="59">
        <v>100</v>
      </c>
      <c r="AH207" s="59">
        <v>350</v>
      </c>
      <c r="AI207" s="130">
        <f t="shared" si="25"/>
        <v>700</v>
      </c>
      <c r="AL207" s="122" t="s">
        <v>319</v>
      </c>
    </row>
    <row r="208" spans="1:38" ht="49.5">
      <c r="A208" s="138">
        <v>30</v>
      </c>
      <c r="B208" s="137" t="s">
        <v>324</v>
      </c>
      <c r="C208" s="58"/>
      <c r="D208" s="58"/>
      <c r="E208" s="58">
        <v>60</v>
      </c>
      <c r="F208" s="58">
        <v>20</v>
      </c>
      <c r="G208" s="58">
        <v>70</v>
      </c>
      <c r="H208" s="58">
        <v>150</v>
      </c>
      <c r="I208" s="59"/>
      <c r="J208" s="59"/>
      <c r="K208" s="59"/>
      <c r="L208" s="59"/>
      <c r="M208" s="59"/>
      <c r="N208" s="59"/>
      <c r="O208" s="59">
        <v>947</v>
      </c>
      <c r="P208" s="59"/>
      <c r="Q208" s="59"/>
      <c r="R208" s="59"/>
      <c r="S208" s="59"/>
      <c r="T208" s="58"/>
      <c r="U208" s="58"/>
      <c r="V208" s="58">
        <v>60</v>
      </c>
      <c r="W208" s="58">
        <v>20</v>
      </c>
      <c r="X208" s="58">
        <v>70</v>
      </c>
      <c r="Y208" s="58">
        <v>150</v>
      </c>
      <c r="Z208" s="59"/>
      <c r="AA208" s="59"/>
      <c r="AB208" s="59"/>
      <c r="AC208" s="59"/>
      <c r="AD208" s="59"/>
      <c r="AE208" s="59"/>
      <c r="AF208" s="59">
        <v>397</v>
      </c>
      <c r="AG208" s="59">
        <v>100</v>
      </c>
      <c r="AH208" s="59">
        <v>450</v>
      </c>
      <c r="AI208" s="130">
        <f>SUM(AD208:AH208)</f>
        <v>947</v>
      </c>
      <c r="AL208" s="122" t="s">
        <v>324</v>
      </c>
    </row>
    <row r="209" spans="1:38" ht="49.5">
      <c r="A209" s="138">
        <v>31</v>
      </c>
      <c r="B209" s="55" t="s">
        <v>641</v>
      </c>
      <c r="C209" s="58">
        <v>20</v>
      </c>
      <c r="D209" s="58">
        <v>20</v>
      </c>
      <c r="E209" s="58">
        <v>20</v>
      </c>
      <c r="F209" s="58">
        <v>20</v>
      </c>
      <c r="G209" s="58">
        <v>20</v>
      </c>
      <c r="H209" s="58">
        <f>SUM(C209:G209)</f>
        <v>100</v>
      </c>
      <c r="I209" s="58"/>
      <c r="J209" s="59"/>
      <c r="K209" s="59"/>
      <c r="L209" s="59"/>
      <c r="M209" s="59"/>
      <c r="N209" s="59"/>
      <c r="O209" s="58">
        <v>174.404</v>
      </c>
      <c r="P209" s="59"/>
      <c r="Q209" s="59"/>
      <c r="R209" s="59"/>
      <c r="S209" s="58">
        <v>20</v>
      </c>
      <c r="T209" s="58">
        <v>20</v>
      </c>
      <c r="U209" s="58">
        <v>20</v>
      </c>
      <c r="V209" s="58">
        <v>20</v>
      </c>
      <c r="W209" s="58">
        <v>20</v>
      </c>
      <c r="X209" s="58">
        <v>20</v>
      </c>
      <c r="Y209" s="58">
        <f>SUM(T209:X209)</f>
        <v>100</v>
      </c>
      <c r="Z209" s="59"/>
      <c r="AA209" s="59"/>
      <c r="AB209" s="59"/>
      <c r="AC209" s="58">
        <f>30*1.18*0.7</f>
        <v>24.779999999999998</v>
      </c>
      <c r="AD209" s="58">
        <f>30*1.18*0.7</f>
        <v>24.779999999999998</v>
      </c>
      <c r="AE209" s="58">
        <f>45*1.18*0.7</f>
        <v>37.169999999999995</v>
      </c>
      <c r="AF209" s="58">
        <f>40*1.18*0.7</f>
        <v>33.039999999999992</v>
      </c>
      <c r="AG209" s="58">
        <f>19.6*1.18*0.7</f>
        <v>16.189599999999999</v>
      </c>
      <c r="AH209" s="58">
        <f>13.2*1.18*0.7</f>
        <v>10.903199999999998</v>
      </c>
      <c r="AI209" s="60">
        <f t="shared" ref="AI209:AI223" si="27">SUM(AD209:AH209)</f>
        <v>122.08279999999998</v>
      </c>
      <c r="AL209" s="127" t="s">
        <v>641</v>
      </c>
    </row>
    <row r="210" spans="1:38" ht="49.5">
      <c r="A210" s="138">
        <v>32</v>
      </c>
      <c r="B210" s="55" t="s">
        <v>642</v>
      </c>
      <c r="C210" s="58">
        <v>30</v>
      </c>
      <c r="D210" s="58">
        <v>30</v>
      </c>
      <c r="E210" s="58">
        <v>30</v>
      </c>
      <c r="F210" s="58">
        <v>30</v>
      </c>
      <c r="G210" s="58">
        <v>30</v>
      </c>
      <c r="H210" s="58">
        <f>SUM(C210:G210)</f>
        <v>150</v>
      </c>
      <c r="I210" s="58"/>
      <c r="J210" s="59"/>
      <c r="K210" s="59"/>
      <c r="L210" s="59"/>
      <c r="M210" s="59"/>
      <c r="N210" s="59"/>
      <c r="O210" s="58">
        <v>215.94</v>
      </c>
      <c r="P210" s="59"/>
      <c r="Q210" s="59"/>
      <c r="R210" s="59"/>
      <c r="S210" s="58">
        <v>30</v>
      </c>
      <c r="T210" s="58">
        <v>30</v>
      </c>
      <c r="U210" s="58">
        <v>30</v>
      </c>
      <c r="V210" s="58">
        <v>30</v>
      </c>
      <c r="W210" s="58">
        <v>30</v>
      </c>
      <c r="X210" s="58">
        <v>30</v>
      </c>
      <c r="Y210" s="58">
        <f>SUM(T210:X210)</f>
        <v>150</v>
      </c>
      <c r="Z210" s="59"/>
      <c r="AA210" s="59"/>
      <c r="AB210" s="59"/>
      <c r="AC210" s="58">
        <f>40*1.18*0.7</f>
        <v>33.039999999999992</v>
      </c>
      <c r="AD210" s="58">
        <f>40*1.18*0.7</f>
        <v>33.039999999999992</v>
      </c>
      <c r="AE210" s="58">
        <f>30*1.18*0.7</f>
        <v>24.779999999999998</v>
      </c>
      <c r="AF210" s="58">
        <f>30*1.18*0.7</f>
        <v>24.779999999999998</v>
      </c>
      <c r="AG210" s="58">
        <f>43*1.18*0.7</f>
        <v>35.517999999999994</v>
      </c>
      <c r="AH210" s="58">
        <f>40*1.18*0.7</f>
        <v>33.039999999999992</v>
      </c>
      <c r="AI210" s="60">
        <f t="shared" si="27"/>
        <v>151.15799999999999</v>
      </c>
      <c r="AL210" s="127" t="s">
        <v>642</v>
      </c>
    </row>
    <row r="211" spans="1:38" ht="49.5">
      <c r="A211" s="138">
        <v>33</v>
      </c>
      <c r="B211" s="32" t="s">
        <v>709</v>
      </c>
      <c r="C211" s="58">
        <v>30</v>
      </c>
      <c r="D211" s="58">
        <v>30</v>
      </c>
      <c r="E211" s="58">
        <v>30</v>
      </c>
      <c r="F211" s="58">
        <v>30</v>
      </c>
      <c r="G211" s="58">
        <v>30</v>
      </c>
      <c r="H211" s="58">
        <f t="shared" ref="H211:H222" si="28">SUM(C211:G211)</f>
        <v>150</v>
      </c>
      <c r="I211" s="58"/>
      <c r="J211" s="59"/>
      <c r="K211" s="59"/>
      <c r="L211" s="59"/>
      <c r="M211" s="59"/>
      <c r="N211" s="59"/>
      <c r="O211" s="58">
        <v>1202.06556</v>
      </c>
      <c r="P211" s="59"/>
      <c r="Q211" s="59"/>
      <c r="R211" s="59"/>
      <c r="S211" s="58">
        <v>30</v>
      </c>
      <c r="T211" s="58">
        <v>30</v>
      </c>
      <c r="U211" s="58">
        <v>30</v>
      </c>
      <c r="V211" s="58">
        <v>30</v>
      </c>
      <c r="W211" s="58">
        <v>30</v>
      </c>
      <c r="X211" s="58">
        <v>30</v>
      </c>
      <c r="Y211" s="58">
        <f t="shared" ref="Y211:Y222" si="29">SUM(T211:X211)</f>
        <v>150</v>
      </c>
      <c r="Z211" s="59"/>
      <c r="AA211" s="59"/>
      <c r="AB211" s="59"/>
      <c r="AC211" s="58">
        <f t="shared" ref="AC211:AH211" si="30">90*1.18*0.7</f>
        <v>74.339999999999989</v>
      </c>
      <c r="AD211" s="58">
        <f t="shared" si="30"/>
        <v>74.339999999999989</v>
      </c>
      <c r="AE211" s="58">
        <f t="shared" si="30"/>
        <v>74.339999999999989</v>
      </c>
      <c r="AF211" s="58">
        <f t="shared" si="30"/>
        <v>74.339999999999989</v>
      </c>
      <c r="AG211" s="58">
        <f t="shared" si="30"/>
        <v>74.339999999999989</v>
      </c>
      <c r="AH211" s="58">
        <f t="shared" si="30"/>
        <v>74.339999999999989</v>
      </c>
      <c r="AI211" s="60">
        <f t="shared" si="27"/>
        <v>371.69999999999993</v>
      </c>
      <c r="AL211" s="116" t="s">
        <v>709</v>
      </c>
    </row>
    <row r="212" spans="1:38" ht="49.5">
      <c r="A212" s="138">
        <v>34</v>
      </c>
      <c r="B212" s="32" t="s">
        <v>710</v>
      </c>
      <c r="C212" s="58">
        <v>50</v>
      </c>
      <c r="D212" s="58">
        <v>50</v>
      </c>
      <c r="E212" s="58">
        <v>50</v>
      </c>
      <c r="F212" s="58">
        <v>50</v>
      </c>
      <c r="G212" s="58">
        <v>50</v>
      </c>
      <c r="H212" s="58">
        <f t="shared" si="28"/>
        <v>250</v>
      </c>
      <c r="I212" s="58"/>
      <c r="J212" s="59"/>
      <c r="K212" s="59"/>
      <c r="L212" s="59"/>
      <c r="M212" s="59"/>
      <c r="N212" s="59"/>
      <c r="O212" s="58">
        <v>1290.2554599999999</v>
      </c>
      <c r="P212" s="59"/>
      <c r="Q212" s="59"/>
      <c r="R212" s="59"/>
      <c r="S212" s="58">
        <v>50</v>
      </c>
      <c r="T212" s="58">
        <v>50</v>
      </c>
      <c r="U212" s="58">
        <v>50</v>
      </c>
      <c r="V212" s="58">
        <v>50</v>
      </c>
      <c r="W212" s="58">
        <v>50</v>
      </c>
      <c r="X212" s="58">
        <v>50</v>
      </c>
      <c r="Y212" s="58">
        <f t="shared" si="29"/>
        <v>250</v>
      </c>
      <c r="Z212" s="59"/>
      <c r="AA212" s="59"/>
      <c r="AB212" s="59"/>
      <c r="AC212" s="58">
        <f t="shared" ref="AC212:AH212" si="31">110*1.18*0.7</f>
        <v>90.859999999999985</v>
      </c>
      <c r="AD212" s="58">
        <f t="shared" si="31"/>
        <v>90.859999999999985</v>
      </c>
      <c r="AE212" s="58">
        <f t="shared" si="31"/>
        <v>90.859999999999985</v>
      </c>
      <c r="AF212" s="58">
        <f t="shared" si="31"/>
        <v>90.859999999999985</v>
      </c>
      <c r="AG212" s="58">
        <f t="shared" si="31"/>
        <v>90.859999999999985</v>
      </c>
      <c r="AH212" s="58">
        <f t="shared" si="31"/>
        <v>90.859999999999985</v>
      </c>
      <c r="AI212" s="60">
        <f t="shared" si="27"/>
        <v>454.29999999999995</v>
      </c>
      <c r="AL212" s="116" t="s">
        <v>710</v>
      </c>
    </row>
    <row r="213" spans="1:38" ht="82.5">
      <c r="A213" s="138">
        <v>35</v>
      </c>
      <c r="B213" s="55" t="s">
        <v>643</v>
      </c>
      <c r="C213" s="58">
        <f>5*0.1</f>
        <v>0.5</v>
      </c>
      <c r="D213" s="58">
        <f>5*0.1</f>
        <v>0.5</v>
      </c>
      <c r="E213" s="58">
        <f>5*0.1</f>
        <v>0.5</v>
      </c>
      <c r="F213" s="58">
        <f>5*0.1</f>
        <v>0.5</v>
      </c>
      <c r="G213" s="58">
        <f>5*0.1</f>
        <v>0.5</v>
      </c>
      <c r="H213" s="58">
        <f t="shared" si="28"/>
        <v>2.5</v>
      </c>
      <c r="I213" s="58"/>
      <c r="J213" s="59"/>
      <c r="K213" s="59"/>
      <c r="L213" s="59"/>
      <c r="M213" s="59"/>
      <c r="N213" s="59"/>
      <c r="O213" s="58">
        <f>817.07448*0.1</f>
        <v>81.707447999999999</v>
      </c>
      <c r="P213" s="59"/>
      <c r="Q213" s="59"/>
      <c r="R213" s="59"/>
      <c r="S213" s="58">
        <f t="shared" ref="S213:X213" si="32">5*0.1</f>
        <v>0.5</v>
      </c>
      <c r="T213" s="58">
        <f t="shared" si="32"/>
        <v>0.5</v>
      </c>
      <c r="U213" s="58">
        <f t="shared" si="32"/>
        <v>0.5</v>
      </c>
      <c r="V213" s="58">
        <f t="shared" si="32"/>
        <v>0.5</v>
      </c>
      <c r="W213" s="58">
        <f t="shared" si="32"/>
        <v>0.5</v>
      </c>
      <c r="X213" s="58">
        <f t="shared" si="32"/>
        <v>0.5</v>
      </c>
      <c r="Y213" s="58">
        <f t="shared" si="29"/>
        <v>2.5</v>
      </c>
      <c r="Z213" s="59"/>
      <c r="AA213" s="59"/>
      <c r="AB213" s="59"/>
      <c r="AC213" s="58">
        <f t="shared" ref="AC213:AH213" si="33">25*1.18*0.7*0.1</f>
        <v>2.0649999999999999</v>
      </c>
      <c r="AD213" s="58">
        <f t="shared" si="33"/>
        <v>2.0649999999999999</v>
      </c>
      <c r="AE213" s="58">
        <f t="shared" si="33"/>
        <v>2.0649999999999999</v>
      </c>
      <c r="AF213" s="58">
        <f t="shared" si="33"/>
        <v>2.0649999999999999</v>
      </c>
      <c r="AG213" s="58">
        <f t="shared" si="33"/>
        <v>2.0649999999999999</v>
      </c>
      <c r="AH213" s="58">
        <f t="shared" si="33"/>
        <v>2.0649999999999999</v>
      </c>
      <c r="AI213" s="60">
        <f t="shared" si="27"/>
        <v>10.324999999999999</v>
      </c>
      <c r="AL213" s="127" t="s">
        <v>643</v>
      </c>
    </row>
    <row r="214" spans="1:38" ht="82.5">
      <c r="A214" s="138">
        <v>36</v>
      </c>
      <c r="B214" s="55" t="s">
        <v>644</v>
      </c>
      <c r="C214" s="58">
        <f>5*0.3</f>
        <v>1.5</v>
      </c>
      <c r="D214" s="58">
        <f>5*0.3</f>
        <v>1.5</v>
      </c>
      <c r="E214" s="58">
        <f>5*0.3</f>
        <v>1.5</v>
      </c>
      <c r="F214" s="58">
        <f>5*0.3</f>
        <v>1.5</v>
      </c>
      <c r="G214" s="58">
        <f>5*0.3</f>
        <v>1.5</v>
      </c>
      <c r="H214" s="58">
        <f t="shared" si="28"/>
        <v>7.5</v>
      </c>
      <c r="I214" s="58"/>
      <c r="J214" s="59"/>
      <c r="K214" s="59"/>
      <c r="L214" s="59"/>
      <c r="M214" s="59"/>
      <c r="N214" s="59"/>
      <c r="O214" s="58">
        <f>336.55252*0.3</f>
        <v>100.965756</v>
      </c>
      <c r="P214" s="59"/>
      <c r="Q214" s="59"/>
      <c r="R214" s="59"/>
      <c r="S214" s="58">
        <f t="shared" ref="S214:X214" si="34">5*0.3</f>
        <v>1.5</v>
      </c>
      <c r="T214" s="58">
        <f t="shared" si="34"/>
        <v>1.5</v>
      </c>
      <c r="U214" s="58">
        <f t="shared" si="34"/>
        <v>1.5</v>
      </c>
      <c r="V214" s="58">
        <f t="shared" si="34"/>
        <v>1.5</v>
      </c>
      <c r="W214" s="58">
        <f t="shared" si="34"/>
        <v>1.5</v>
      </c>
      <c r="X214" s="58">
        <f t="shared" si="34"/>
        <v>1.5</v>
      </c>
      <c r="Y214" s="58">
        <f t="shared" si="29"/>
        <v>7.5</v>
      </c>
      <c r="Z214" s="59"/>
      <c r="AA214" s="59"/>
      <c r="AB214" s="59"/>
      <c r="AC214" s="58">
        <f t="shared" ref="AC214:AH214" si="35">25*1.18*0.7*0.3</f>
        <v>6.1949999999999994</v>
      </c>
      <c r="AD214" s="58">
        <f t="shared" si="35"/>
        <v>6.1949999999999994</v>
      </c>
      <c r="AE214" s="58">
        <f t="shared" si="35"/>
        <v>6.1949999999999994</v>
      </c>
      <c r="AF214" s="58">
        <f t="shared" si="35"/>
        <v>6.1949999999999994</v>
      </c>
      <c r="AG214" s="58">
        <f t="shared" si="35"/>
        <v>6.1949999999999994</v>
      </c>
      <c r="AH214" s="58">
        <f t="shared" si="35"/>
        <v>6.1949999999999994</v>
      </c>
      <c r="AI214" s="60">
        <f t="shared" si="27"/>
        <v>30.974999999999998</v>
      </c>
      <c r="AL214" s="127" t="s">
        <v>644</v>
      </c>
    </row>
    <row r="215" spans="1:38" ht="33">
      <c r="A215" s="138">
        <v>37</v>
      </c>
      <c r="B215" s="55" t="s">
        <v>166</v>
      </c>
      <c r="C215" s="58">
        <v>17.100000000000001</v>
      </c>
      <c r="D215" s="58">
        <v>17.5</v>
      </c>
      <c r="E215" s="58">
        <v>3.8</v>
      </c>
      <c r="F215" s="58"/>
      <c r="G215" s="58"/>
      <c r="H215" s="58">
        <f t="shared" si="28"/>
        <v>38.4</v>
      </c>
      <c r="I215" s="58"/>
      <c r="J215" s="59"/>
      <c r="K215" s="59"/>
      <c r="L215" s="59"/>
      <c r="M215" s="59"/>
      <c r="N215" s="59"/>
      <c r="O215" s="58">
        <v>236</v>
      </c>
      <c r="P215" s="59"/>
      <c r="Q215" s="59"/>
      <c r="R215" s="59"/>
      <c r="S215" s="58">
        <v>17.100000000000001</v>
      </c>
      <c r="T215" s="58">
        <v>17.100000000000001</v>
      </c>
      <c r="U215" s="58">
        <v>17.5</v>
      </c>
      <c r="V215" s="58">
        <v>3.8</v>
      </c>
      <c r="W215" s="58"/>
      <c r="X215" s="58"/>
      <c r="Y215" s="58">
        <f t="shared" si="29"/>
        <v>38.4</v>
      </c>
      <c r="Z215" s="59"/>
      <c r="AA215" s="59"/>
      <c r="AB215" s="59"/>
      <c r="AC215" s="58">
        <f>89*1.18</f>
        <v>105.02</v>
      </c>
      <c r="AD215" s="58">
        <f>89*1.18</f>
        <v>105.02</v>
      </c>
      <c r="AE215" s="58">
        <f>91*1.18</f>
        <v>107.38</v>
      </c>
      <c r="AF215" s="58">
        <f>20*1.18</f>
        <v>23.599999999999998</v>
      </c>
      <c r="AG215" s="58"/>
      <c r="AH215" s="58"/>
      <c r="AI215" s="60">
        <f t="shared" si="27"/>
        <v>235.99999999999997</v>
      </c>
      <c r="AL215" s="127" t="s">
        <v>166</v>
      </c>
    </row>
    <row r="216" spans="1:38" ht="16.5">
      <c r="A216" s="138">
        <v>38</v>
      </c>
      <c r="B216" s="55" t="s">
        <v>171</v>
      </c>
      <c r="C216" s="58"/>
      <c r="D216" s="58"/>
      <c r="E216" s="58">
        <v>10.72</v>
      </c>
      <c r="F216" s="58">
        <v>10</v>
      </c>
      <c r="G216" s="58"/>
      <c r="H216" s="58">
        <f t="shared" si="28"/>
        <v>20.72</v>
      </c>
      <c r="I216" s="58"/>
      <c r="J216" s="59"/>
      <c r="K216" s="59"/>
      <c r="L216" s="59"/>
      <c r="M216" s="59"/>
      <c r="N216" s="59"/>
      <c r="O216" s="58">
        <v>82.6</v>
      </c>
      <c r="P216" s="59"/>
      <c r="Q216" s="59"/>
      <c r="R216" s="59"/>
      <c r="S216" s="58"/>
      <c r="T216" s="58"/>
      <c r="U216" s="58"/>
      <c r="V216" s="58">
        <v>10.72</v>
      </c>
      <c r="W216" s="58">
        <v>10</v>
      </c>
      <c r="X216" s="58"/>
      <c r="Y216" s="58">
        <f t="shared" si="29"/>
        <v>20.72</v>
      </c>
      <c r="Z216" s="59"/>
      <c r="AA216" s="59"/>
      <c r="AB216" s="59"/>
      <c r="AC216" s="58"/>
      <c r="AD216" s="58"/>
      <c r="AE216" s="58"/>
      <c r="AF216" s="58">
        <f>32*1.18+8*1.18</f>
        <v>47.199999999999996</v>
      </c>
      <c r="AG216" s="58">
        <f>30*1.18</f>
        <v>35.4</v>
      </c>
      <c r="AH216" s="58"/>
      <c r="AI216" s="60">
        <f t="shared" si="27"/>
        <v>82.6</v>
      </c>
      <c r="AL216" s="127" t="s">
        <v>171</v>
      </c>
    </row>
    <row r="217" spans="1:38" ht="33">
      <c r="A217" s="138">
        <v>39</v>
      </c>
      <c r="B217" s="55" t="s">
        <v>175</v>
      </c>
      <c r="C217" s="58"/>
      <c r="D217" s="58"/>
      <c r="E217" s="58">
        <v>18.100000000000001</v>
      </c>
      <c r="F217" s="58"/>
      <c r="G217" s="58"/>
      <c r="H217" s="58">
        <f t="shared" si="28"/>
        <v>18.100000000000001</v>
      </c>
      <c r="I217" s="58"/>
      <c r="J217" s="59"/>
      <c r="K217" s="59"/>
      <c r="L217" s="59"/>
      <c r="M217" s="59"/>
      <c r="N217" s="59"/>
      <c r="O217" s="58">
        <v>64.899999999999991</v>
      </c>
      <c r="P217" s="59"/>
      <c r="Q217" s="59"/>
      <c r="R217" s="59"/>
      <c r="S217" s="58"/>
      <c r="T217" s="58"/>
      <c r="U217" s="58"/>
      <c r="V217" s="58">
        <v>18.100000000000001</v>
      </c>
      <c r="W217" s="58"/>
      <c r="X217" s="58"/>
      <c r="Y217" s="58">
        <f t="shared" si="29"/>
        <v>18.100000000000001</v>
      </c>
      <c r="Z217" s="59"/>
      <c r="AA217" s="59"/>
      <c r="AB217" s="59"/>
      <c r="AC217" s="58"/>
      <c r="AD217" s="58"/>
      <c r="AE217" s="58"/>
      <c r="AF217" s="58">
        <f>50*1.18+5*1.18</f>
        <v>64.900000000000006</v>
      </c>
      <c r="AG217" s="58"/>
      <c r="AH217" s="58"/>
      <c r="AI217" s="60">
        <f t="shared" si="27"/>
        <v>64.900000000000006</v>
      </c>
      <c r="AL217" s="127" t="s">
        <v>175</v>
      </c>
    </row>
    <row r="218" spans="1:38" ht="33">
      <c r="A218" s="138">
        <v>40</v>
      </c>
      <c r="B218" s="55" t="s">
        <v>177</v>
      </c>
      <c r="C218" s="58"/>
      <c r="D218" s="58"/>
      <c r="E218" s="58">
        <v>15</v>
      </c>
      <c r="F218" s="58">
        <v>7.15</v>
      </c>
      <c r="G218" s="58"/>
      <c r="H218" s="58">
        <f t="shared" si="28"/>
        <v>22.15</v>
      </c>
      <c r="I218" s="58"/>
      <c r="J218" s="59"/>
      <c r="K218" s="59"/>
      <c r="L218" s="59"/>
      <c r="M218" s="59"/>
      <c r="N218" s="59"/>
      <c r="O218" s="58">
        <v>76.7</v>
      </c>
      <c r="P218" s="59"/>
      <c r="Q218" s="59"/>
      <c r="R218" s="59"/>
      <c r="S218" s="58"/>
      <c r="T218" s="58"/>
      <c r="U218" s="58"/>
      <c r="V218" s="58">
        <v>15</v>
      </c>
      <c r="W218" s="58">
        <v>7.15</v>
      </c>
      <c r="X218" s="58"/>
      <c r="Y218" s="58">
        <f t="shared" si="29"/>
        <v>22.15</v>
      </c>
      <c r="Z218" s="59"/>
      <c r="AA218" s="59"/>
      <c r="AB218" s="59"/>
      <c r="AC218" s="58"/>
      <c r="AD218" s="58"/>
      <c r="AE218" s="58"/>
      <c r="AF218" s="58">
        <f>43*1.18</f>
        <v>50.739999999999995</v>
      </c>
      <c r="AG218" s="58">
        <f>22*1.18</f>
        <v>25.959999999999997</v>
      </c>
      <c r="AH218" s="58"/>
      <c r="AI218" s="60">
        <f t="shared" si="27"/>
        <v>76.699999999999989</v>
      </c>
      <c r="AL218" s="127" t="s">
        <v>177</v>
      </c>
    </row>
    <row r="219" spans="1:38" ht="33">
      <c r="A219" s="138">
        <v>41</v>
      </c>
      <c r="B219" s="55" t="s">
        <v>181</v>
      </c>
      <c r="C219" s="58"/>
      <c r="D219" s="58"/>
      <c r="E219" s="58"/>
      <c r="F219" s="58">
        <v>28.8</v>
      </c>
      <c r="G219" s="58">
        <v>17.600000000000001</v>
      </c>
      <c r="H219" s="58">
        <f t="shared" si="28"/>
        <v>46.400000000000006</v>
      </c>
      <c r="I219" s="58"/>
      <c r="J219" s="59"/>
      <c r="K219" s="59"/>
      <c r="L219" s="59"/>
      <c r="M219" s="59"/>
      <c r="N219" s="59"/>
      <c r="O219" s="58">
        <v>145.13999999999999</v>
      </c>
      <c r="P219" s="59"/>
      <c r="Q219" s="59"/>
      <c r="R219" s="59"/>
      <c r="S219" s="58"/>
      <c r="T219" s="58"/>
      <c r="U219" s="58"/>
      <c r="V219" s="58"/>
      <c r="W219" s="58">
        <v>28.8</v>
      </c>
      <c r="X219" s="58">
        <v>17.600000000000001</v>
      </c>
      <c r="Y219" s="58">
        <f t="shared" si="29"/>
        <v>46.400000000000006</v>
      </c>
      <c r="Z219" s="59"/>
      <c r="AA219" s="59"/>
      <c r="AB219" s="59"/>
      <c r="AC219" s="58"/>
      <c r="AD219" s="58"/>
      <c r="AE219" s="58"/>
      <c r="AF219" s="58"/>
      <c r="AG219" s="58">
        <f>75*1.18+3*1.18</f>
        <v>92.04</v>
      </c>
      <c r="AH219" s="58">
        <f>45*1.18</f>
        <v>53.099999999999994</v>
      </c>
      <c r="AI219" s="60">
        <f t="shared" si="27"/>
        <v>145.13999999999999</v>
      </c>
      <c r="AL219" s="127" t="s">
        <v>181</v>
      </c>
    </row>
    <row r="220" spans="1:38" ht="33">
      <c r="A220" s="138">
        <v>42</v>
      </c>
      <c r="B220" s="55" t="s">
        <v>185</v>
      </c>
      <c r="C220" s="58"/>
      <c r="D220" s="58"/>
      <c r="E220" s="58"/>
      <c r="F220" s="58"/>
      <c r="G220" s="58">
        <v>28.1</v>
      </c>
      <c r="H220" s="58">
        <f t="shared" si="28"/>
        <v>28.1</v>
      </c>
      <c r="I220" s="58"/>
      <c r="J220" s="59"/>
      <c r="K220" s="59"/>
      <c r="L220" s="59"/>
      <c r="M220" s="59"/>
      <c r="N220" s="59"/>
      <c r="O220" s="58">
        <v>96.759999999999991</v>
      </c>
      <c r="P220" s="59"/>
      <c r="Q220" s="59"/>
      <c r="R220" s="59"/>
      <c r="S220" s="58"/>
      <c r="T220" s="58"/>
      <c r="U220" s="58"/>
      <c r="V220" s="58"/>
      <c r="W220" s="58"/>
      <c r="X220" s="58">
        <v>28.1</v>
      </c>
      <c r="Y220" s="58">
        <f t="shared" si="29"/>
        <v>28.1</v>
      </c>
      <c r="Z220" s="59"/>
      <c r="AA220" s="59"/>
      <c r="AB220" s="59"/>
      <c r="AC220" s="58"/>
      <c r="AD220" s="58"/>
      <c r="AE220" s="58"/>
      <c r="AF220" s="58"/>
      <c r="AG220" s="58"/>
      <c r="AH220" s="58">
        <f>75*1.18+7*1.18</f>
        <v>96.76</v>
      </c>
      <c r="AI220" s="60">
        <f t="shared" si="27"/>
        <v>96.76</v>
      </c>
      <c r="AL220" s="127" t="s">
        <v>185</v>
      </c>
    </row>
    <row r="221" spans="1:38" ht="33">
      <c r="A221" s="138">
        <v>43</v>
      </c>
      <c r="B221" s="55" t="s">
        <v>187</v>
      </c>
      <c r="C221" s="58"/>
      <c r="D221" s="58"/>
      <c r="E221" s="58"/>
      <c r="F221" s="58">
        <v>10</v>
      </c>
      <c r="G221" s="58">
        <v>13.1</v>
      </c>
      <c r="H221" s="58">
        <f t="shared" si="28"/>
        <v>23.1</v>
      </c>
      <c r="I221" s="58"/>
      <c r="J221" s="59"/>
      <c r="K221" s="59"/>
      <c r="L221" s="59"/>
      <c r="M221" s="59"/>
      <c r="N221" s="59"/>
      <c r="O221" s="58">
        <v>90.86</v>
      </c>
      <c r="P221" s="59"/>
      <c r="Q221" s="59"/>
      <c r="R221" s="59"/>
      <c r="S221" s="58"/>
      <c r="T221" s="58"/>
      <c r="U221" s="58"/>
      <c r="V221" s="58"/>
      <c r="W221" s="58">
        <v>10</v>
      </c>
      <c r="X221" s="58">
        <v>13.1</v>
      </c>
      <c r="Y221" s="58">
        <f t="shared" si="29"/>
        <v>23.1</v>
      </c>
      <c r="Z221" s="59"/>
      <c r="AA221" s="59"/>
      <c r="AB221" s="59"/>
      <c r="AC221" s="58"/>
      <c r="AD221" s="58"/>
      <c r="AE221" s="58"/>
      <c r="AF221" s="58"/>
      <c r="AG221" s="58">
        <f>30*1.18+7*1.18</f>
        <v>43.66</v>
      </c>
      <c r="AH221" s="58">
        <f>40*1.18</f>
        <v>47.199999999999996</v>
      </c>
      <c r="AI221" s="60">
        <f t="shared" si="27"/>
        <v>90.859999999999985</v>
      </c>
      <c r="AL221" s="127" t="s">
        <v>187</v>
      </c>
    </row>
    <row r="222" spans="1:38" ht="33">
      <c r="A222" s="138">
        <v>44</v>
      </c>
      <c r="B222" s="55" t="s">
        <v>190</v>
      </c>
      <c r="C222" s="58"/>
      <c r="D222" s="58"/>
      <c r="E222" s="58"/>
      <c r="F222" s="58"/>
      <c r="G222" s="58">
        <v>39.799999999999997</v>
      </c>
      <c r="H222" s="58">
        <f t="shared" si="28"/>
        <v>39.799999999999997</v>
      </c>
      <c r="I222" s="58"/>
      <c r="J222" s="59"/>
      <c r="K222" s="59"/>
      <c r="L222" s="59"/>
      <c r="M222" s="59"/>
      <c r="N222" s="59"/>
      <c r="O222" s="58">
        <v>31.86</v>
      </c>
      <c r="P222" s="59"/>
      <c r="Q222" s="59"/>
      <c r="R222" s="59"/>
      <c r="S222" s="58"/>
      <c r="T222" s="58"/>
      <c r="U222" s="58"/>
      <c r="V222" s="58"/>
      <c r="W222" s="58"/>
      <c r="X222" s="58">
        <v>39.799999999999997</v>
      </c>
      <c r="Y222" s="58">
        <f t="shared" si="29"/>
        <v>39.799999999999997</v>
      </c>
      <c r="Z222" s="59"/>
      <c r="AA222" s="59"/>
      <c r="AB222" s="59"/>
      <c r="AC222" s="58"/>
      <c r="AD222" s="58"/>
      <c r="AE222" s="58"/>
      <c r="AF222" s="58"/>
      <c r="AG222" s="58"/>
      <c r="AH222" s="58">
        <f>25*1.18+2*1.18</f>
        <v>31.86</v>
      </c>
      <c r="AI222" s="60">
        <f t="shared" si="27"/>
        <v>31.86</v>
      </c>
      <c r="AL222" s="127" t="s">
        <v>190</v>
      </c>
    </row>
    <row r="223" spans="1:38" ht="66">
      <c r="A223" s="138">
        <v>45</v>
      </c>
      <c r="B223" s="55" t="s">
        <v>677</v>
      </c>
      <c r="C223" s="58"/>
      <c r="D223" s="58"/>
      <c r="E223" s="58"/>
      <c r="F223" s="58"/>
      <c r="G223" s="58"/>
      <c r="H223" s="58"/>
      <c r="I223" s="58"/>
      <c r="J223" s="59"/>
      <c r="K223" s="59"/>
      <c r="L223" s="59"/>
      <c r="M223" s="59"/>
      <c r="N223" s="59"/>
      <c r="O223" s="58">
        <v>354</v>
      </c>
      <c r="P223" s="59"/>
      <c r="Q223" s="59"/>
      <c r="R223" s="59"/>
      <c r="S223" s="58"/>
      <c r="T223" s="58"/>
      <c r="U223" s="58"/>
      <c r="V223" s="58"/>
      <c r="W223" s="58"/>
      <c r="X223" s="58"/>
      <c r="Y223" s="58"/>
      <c r="Z223" s="59"/>
      <c r="AA223" s="59"/>
      <c r="AB223" s="59"/>
      <c r="AC223" s="58">
        <f>30*1.18</f>
        <v>35.4</v>
      </c>
      <c r="AD223" s="58">
        <f>30*1.18</f>
        <v>35.4</v>
      </c>
      <c r="AE223" s="58">
        <f>60*1.18</f>
        <v>70.8</v>
      </c>
      <c r="AF223" s="58">
        <f>80*1.18</f>
        <v>94.399999999999991</v>
      </c>
      <c r="AG223" s="58">
        <f>65*1.18</f>
        <v>76.7</v>
      </c>
      <c r="AH223" s="58">
        <f>65*1.18</f>
        <v>76.7</v>
      </c>
      <c r="AI223" s="60">
        <f t="shared" si="27"/>
        <v>353.99999999999994</v>
      </c>
      <c r="AL223" s="127" t="s">
        <v>677</v>
      </c>
    </row>
    <row r="224" spans="1:38" ht="66">
      <c r="A224" s="138">
        <v>46</v>
      </c>
      <c r="B224" s="32" t="s">
        <v>678</v>
      </c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>
        <v>495</v>
      </c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>
        <v>16</v>
      </c>
      <c r="AB224" s="59">
        <v>24</v>
      </c>
      <c r="AC224" s="59">
        <v>40</v>
      </c>
      <c r="AD224" s="59">
        <v>80</v>
      </c>
      <c r="AE224" s="59">
        <v>80</v>
      </c>
      <c r="AF224" s="59">
        <v>100</v>
      </c>
      <c r="AG224" s="59">
        <v>100</v>
      </c>
      <c r="AH224" s="59">
        <v>100</v>
      </c>
      <c r="AI224" s="130">
        <f>AH224+AG224+AF224+AE224+AD224</f>
        <v>460</v>
      </c>
      <c r="AL224" s="116" t="s">
        <v>678</v>
      </c>
    </row>
    <row r="225" spans="1:38" ht="49.5">
      <c r="A225" s="138">
        <v>47</v>
      </c>
      <c r="B225" s="32" t="s">
        <v>355</v>
      </c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>
        <v>120</v>
      </c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>
        <v>6</v>
      </c>
      <c r="AA225" s="59">
        <v>6</v>
      </c>
      <c r="AB225" s="59">
        <v>6</v>
      </c>
      <c r="AC225" s="59">
        <v>6</v>
      </c>
      <c r="AD225" s="59">
        <v>24</v>
      </c>
      <c r="AE225" s="59">
        <v>24</v>
      </c>
      <c r="AF225" s="59">
        <v>24</v>
      </c>
      <c r="AG225" s="59">
        <v>24</v>
      </c>
      <c r="AH225" s="59">
        <v>24</v>
      </c>
      <c r="AI225" s="130">
        <f>AH225+AG225+AF225+AE225+AD225</f>
        <v>120</v>
      </c>
      <c r="AL225" s="116" t="s">
        <v>355</v>
      </c>
    </row>
    <row r="226" spans="1:38" ht="66">
      <c r="A226" s="138">
        <v>48</v>
      </c>
      <c r="B226" s="39" t="s">
        <v>711</v>
      </c>
      <c r="C226" s="59">
        <v>250</v>
      </c>
      <c r="D226" s="59">
        <v>250</v>
      </c>
      <c r="E226" s="59">
        <v>250</v>
      </c>
      <c r="F226" s="59">
        <v>250</v>
      </c>
      <c r="G226" s="59">
        <v>250</v>
      </c>
      <c r="H226" s="58">
        <f>SUM(C226:G226)</f>
        <v>1250</v>
      </c>
      <c r="I226" s="59"/>
      <c r="J226" s="59"/>
      <c r="K226" s="59"/>
      <c r="L226" s="59"/>
      <c r="M226" s="59"/>
      <c r="N226" s="59"/>
      <c r="O226" s="59">
        <v>3750</v>
      </c>
      <c r="P226" s="59"/>
      <c r="Q226" s="59"/>
      <c r="R226" s="59"/>
      <c r="S226" s="59">
        <v>250</v>
      </c>
      <c r="T226" s="59">
        <v>250</v>
      </c>
      <c r="U226" s="59">
        <v>250</v>
      </c>
      <c r="V226" s="59">
        <v>250</v>
      </c>
      <c r="W226" s="59">
        <v>250</v>
      </c>
      <c r="X226" s="59">
        <v>250</v>
      </c>
      <c r="Y226" s="59">
        <v>1250</v>
      </c>
      <c r="Z226" s="59">
        <v>150</v>
      </c>
      <c r="AA226" s="59">
        <v>150</v>
      </c>
      <c r="AB226" s="59">
        <v>225</v>
      </c>
      <c r="AC226" s="59">
        <v>225</v>
      </c>
      <c r="AD226" s="59">
        <v>750</v>
      </c>
      <c r="AE226" s="59">
        <v>750</v>
      </c>
      <c r="AF226" s="59">
        <v>750</v>
      </c>
      <c r="AG226" s="59">
        <v>750</v>
      </c>
      <c r="AH226" s="59">
        <v>750</v>
      </c>
      <c r="AI226" s="130">
        <f>AH226+AG226+AF226+AE226+AD226</f>
        <v>3750</v>
      </c>
      <c r="AL226" s="121" t="s">
        <v>711</v>
      </c>
    </row>
    <row r="227" spans="1:38" ht="16.5">
      <c r="A227" s="138">
        <v>49</v>
      </c>
      <c r="B227" s="32" t="s">
        <v>367</v>
      </c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>
        <v>112</v>
      </c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>
        <v>4</v>
      </c>
      <c r="AB227" s="59">
        <v>2.5</v>
      </c>
      <c r="AC227" s="59"/>
      <c r="AD227" s="59">
        <v>6.5</v>
      </c>
      <c r="AE227" s="59">
        <v>6.5</v>
      </c>
      <c r="AF227" s="59">
        <v>6.5</v>
      </c>
      <c r="AG227" s="59">
        <v>6.5</v>
      </c>
      <c r="AH227" s="59">
        <v>6.5</v>
      </c>
      <c r="AI227" s="130">
        <f>AH227+AG227+AF227+AE227+AD227</f>
        <v>32.5</v>
      </c>
      <c r="AL227" s="116" t="s">
        <v>367</v>
      </c>
    </row>
    <row r="228" spans="1:38" ht="66">
      <c r="A228" s="138">
        <v>50</v>
      </c>
      <c r="B228" s="32" t="s">
        <v>382</v>
      </c>
      <c r="C228" s="58">
        <v>0.3</v>
      </c>
      <c r="D228" s="58">
        <v>0.3</v>
      </c>
      <c r="E228" s="58">
        <v>0.3</v>
      </c>
      <c r="F228" s="58">
        <v>0.3</v>
      </c>
      <c r="G228" s="58">
        <v>0.3</v>
      </c>
      <c r="H228" s="58">
        <f>SUM(C228:G228)</f>
        <v>1.5</v>
      </c>
      <c r="I228" s="59"/>
      <c r="J228" s="59"/>
      <c r="K228" s="59"/>
      <c r="L228" s="59"/>
      <c r="M228" s="59"/>
      <c r="N228" s="59"/>
      <c r="O228" s="59">
        <v>47.55</v>
      </c>
      <c r="P228" s="59"/>
      <c r="Q228" s="59"/>
      <c r="R228" s="59"/>
      <c r="S228" s="58">
        <v>0.3</v>
      </c>
      <c r="T228" s="58">
        <v>0.3</v>
      </c>
      <c r="U228" s="58">
        <v>0.3</v>
      </c>
      <c r="V228" s="58">
        <v>0.3</v>
      </c>
      <c r="W228" s="58">
        <v>0.3</v>
      </c>
      <c r="X228" s="58">
        <v>0.3</v>
      </c>
      <c r="Y228" s="58">
        <f>SUM(T228:X228)</f>
        <v>1.5</v>
      </c>
      <c r="Z228" s="59"/>
      <c r="AA228" s="59">
        <v>4.5</v>
      </c>
      <c r="AB228" s="59">
        <v>4.5</v>
      </c>
      <c r="AC228" s="59">
        <v>3</v>
      </c>
      <c r="AD228" s="59">
        <v>12</v>
      </c>
      <c r="AE228" s="59">
        <v>12</v>
      </c>
      <c r="AF228" s="59">
        <v>12</v>
      </c>
      <c r="AG228" s="59">
        <v>12</v>
      </c>
      <c r="AH228" s="59">
        <v>12</v>
      </c>
      <c r="AI228" s="130">
        <f>AH228+AG228+AF228+AE228+AD228</f>
        <v>60</v>
      </c>
      <c r="AL228" s="116" t="s">
        <v>382</v>
      </c>
    </row>
    <row r="229" spans="1:38" ht="33">
      <c r="A229" s="138">
        <v>51</v>
      </c>
      <c r="B229" s="32" t="s">
        <v>351</v>
      </c>
      <c r="C229" s="58"/>
      <c r="D229" s="58">
        <v>5.2</v>
      </c>
      <c r="E229" s="58"/>
      <c r="F229" s="58"/>
      <c r="G229" s="58"/>
      <c r="H229" s="58">
        <f>SUM(C229:G229)</f>
        <v>5.2</v>
      </c>
      <c r="I229" s="59"/>
      <c r="J229" s="59"/>
      <c r="K229" s="59"/>
      <c r="L229" s="59"/>
      <c r="M229" s="59"/>
      <c r="N229" s="59"/>
      <c r="O229" s="59">
        <v>20.5</v>
      </c>
      <c r="P229" s="59"/>
      <c r="Q229" s="59"/>
      <c r="R229" s="59"/>
      <c r="S229" s="58"/>
      <c r="T229" s="58"/>
      <c r="U229" s="58">
        <v>5.2</v>
      </c>
      <c r="V229" s="58"/>
      <c r="W229" s="58"/>
      <c r="X229" s="58"/>
      <c r="Y229" s="58">
        <f>SUM(U229:X229)</f>
        <v>5.2</v>
      </c>
      <c r="Z229" s="59"/>
      <c r="AA229" s="59"/>
      <c r="AB229" s="59"/>
      <c r="AC229" s="59"/>
      <c r="AD229" s="59"/>
      <c r="AE229" s="59"/>
      <c r="AF229" s="59"/>
      <c r="AG229" s="59"/>
      <c r="AH229" s="59"/>
      <c r="AI229" s="130"/>
      <c r="AL229" s="116" t="s">
        <v>351</v>
      </c>
    </row>
    <row r="230" spans="1:38" ht="16.5">
      <c r="A230" s="138">
        <v>52</v>
      </c>
      <c r="B230" s="32" t="s">
        <v>371</v>
      </c>
      <c r="C230" s="58"/>
      <c r="D230" s="58">
        <v>0.1</v>
      </c>
      <c r="E230" s="58"/>
      <c r="F230" s="58"/>
      <c r="G230" s="58"/>
      <c r="H230" s="58">
        <f>SUM(C230:G230)</f>
        <v>0.1</v>
      </c>
      <c r="I230" s="59"/>
      <c r="J230" s="59"/>
      <c r="K230" s="59"/>
      <c r="L230" s="59"/>
      <c r="M230" s="59"/>
      <c r="N230" s="59"/>
      <c r="O230" s="59">
        <v>4.5</v>
      </c>
      <c r="P230" s="59"/>
      <c r="Q230" s="59"/>
      <c r="R230" s="59"/>
      <c r="S230" s="58"/>
      <c r="T230" s="58"/>
      <c r="U230" s="58">
        <v>0.1</v>
      </c>
      <c r="V230" s="58"/>
      <c r="W230" s="58"/>
      <c r="X230" s="58"/>
      <c r="Y230" s="58">
        <f>SUM(U230:X230)</f>
        <v>0.1</v>
      </c>
      <c r="Z230" s="59"/>
      <c r="AA230" s="59"/>
      <c r="AB230" s="59"/>
      <c r="AC230" s="59"/>
      <c r="AD230" s="59"/>
      <c r="AE230" s="59"/>
      <c r="AF230" s="59"/>
      <c r="AG230" s="59"/>
      <c r="AH230" s="59"/>
      <c r="AI230" s="130"/>
      <c r="AL230" s="116" t="s">
        <v>371</v>
      </c>
    </row>
    <row r="231" spans="1:38" ht="16.5">
      <c r="A231" s="138">
        <v>53</v>
      </c>
      <c r="B231" s="32" t="s">
        <v>372</v>
      </c>
      <c r="C231" s="58"/>
      <c r="D231" s="58">
        <v>0.1</v>
      </c>
      <c r="E231" s="58"/>
      <c r="F231" s="58"/>
      <c r="G231" s="58"/>
      <c r="H231" s="58">
        <f>SUM(C231:G231)</f>
        <v>0.1</v>
      </c>
      <c r="I231" s="59"/>
      <c r="J231" s="59"/>
      <c r="K231" s="59"/>
      <c r="L231" s="59"/>
      <c r="M231" s="59"/>
      <c r="N231" s="59"/>
      <c r="O231" s="59">
        <v>4.5</v>
      </c>
      <c r="P231" s="59"/>
      <c r="Q231" s="59"/>
      <c r="R231" s="59"/>
      <c r="S231" s="58"/>
      <c r="T231" s="58"/>
      <c r="U231" s="58">
        <v>0.1</v>
      </c>
      <c r="V231" s="58"/>
      <c r="W231" s="58"/>
      <c r="X231" s="58"/>
      <c r="Y231" s="58">
        <f>SUM(U231:X231)</f>
        <v>0.1</v>
      </c>
      <c r="Z231" s="59"/>
      <c r="AA231" s="59"/>
      <c r="AB231" s="59"/>
      <c r="AC231" s="59"/>
      <c r="AD231" s="59"/>
      <c r="AE231" s="59"/>
      <c r="AF231" s="59"/>
      <c r="AG231" s="59"/>
      <c r="AH231" s="59"/>
      <c r="AI231" s="130"/>
      <c r="AL231" s="116" t="s">
        <v>372</v>
      </c>
    </row>
    <row r="232" spans="1:38" ht="33">
      <c r="A232" s="138">
        <v>54</v>
      </c>
      <c r="B232" s="32" t="s">
        <v>373</v>
      </c>
      <c r="C232" s="58">
        <v>70</v>
      </c>
      <c r="D232" s="58"/>
      <c r="E232" s="58"/>
      <c r="F232" s="58"/>
      <c r="G232" s="58"/>
      <c r="H232" s="58">
        <f>SUM(C232:G232)</f>
        <v>70</v>
      </c>
      <c r="I232" s="59"/>
      <c r="J232" s="59"/>
      <c r="K232" s="59"/>
      <c r="L232" s="59"/>
      <c r="M232" s="59"/>
      <c r="N232" s="59"/>
      <c r="O232" s="59">
        <v>841.42499999999995</v>
      </c>
      <c r="P232" s="59"/>
      <c r="Q232" s="59"/>
      <c r="R232" s="59"/>
      <c r="S232" s="58">
        <v>70</v>
      </c>
      <c r="T232" s="58">
        <v>70</v>
      </c>
      <c r="U232" s="58"/>
      <c r="V232" s="58"/>
      <c r="W232" s="58"/>
      <c r="X232" s="58"/>
      <c r="Y232" s="58">
        <f>SUM(T232:X232)</f>
        <v>70</v>
      </c>
      <c r="Z232" s="59"/>
      <c r="AA232" s="59"/>
      <c r="AB232" s="59"/>
      <c r="AC232" s="59"/>
      <c r="AD232" s="59"/>
      <c r="AE232" s="59"/>
      <c r="AF232" s="59"/>
      <c r="AG232" s="59"/>
      <c r="AH232" s="59"/>
      <c r="AI232" s="130"/>
      <c r="AL232" s="116" t="s">
        <v>373</v>
      </c>
    </row>
    <row r="233" spans="1:38" ht="82.5">
      <c r="A233" s="138">
        <v>55</v>
      </c>
      <c r="B233" s="32" t="s">
        <v>235</v>
      </c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>
        <v>6.5</v>
      </c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>
        <v>6.5</v>
      </c>
      <c r="AD233" s="59">
        <v>6.5</v>
      </c>
      <c r="AE233" s="59"/>
      <c r="AF233" s="59"/>
      <c r="AG233" s="59"/>
      <c r="AH233" s="59"/>
      <c r="AI233" s="130">
        <f>AH233+AG233+AF233+AE233+AD233</f>
        <v>6.5</v>
      </c>
      <c r="AL233" s="116" t="s">
        <v>235</v>
      </c>
    </row>
    <row r="234" spans="1:38" ht="49.5">
      <c r="A234" s="138">
        <v>56</v>
      </c>
      <c r="B234" s="32" t="s">
        <v>236</v>
      </c>
      <c r="C234" s="58">
        <v>13</v>
      </c>
      <c r="D234" s="58"/>
      <c r="E234" s="58"/>
      <c r="F234" s="59"/>
      <c r="G234" s="59"/>
      <c r="H234" s="59">
        <v>13</v>
      </c>
      <c r="I234" s="59"/>
      <c r="J234" s="59"/>
      <c r="K234" s="59"/>
      <c r="L234" s="59"/>
      <c r="M234" s="59"/>
      <c r="N234" s="59"/>
      <c r="O234" s="59">
        <v>20</v>
      </c>
      <c r="P234" s="59"/>
      <c r="Q234" s="59"/>
      <c r="R234" s="59"/>
      <c r="S234" s="58">
        <v>13</v>
      </c>
      <c r="T234" s="58">
        <v>13</v>
      </c>
      <c r="U234" s="59"/>
      <c r="V234" s="59"/>
      <c r="W234" s="59"/>
      <c r="X234" s="59"/>
      <c r="Y234" s="58">
        <f>T234+U234+V234+W234+X234</f>
        <v>13</v>
      </c>
      <c r="Z234" s="59"/>
      <c r="AA234" s="59"/>
      <c r="AB234" s="59"/>
      <c r="AC234" s="59">
        <v>15.7</v>
      </c>
      <c r="AD234" s="59">
        <v>15.7</v>
      </c>
      <c r="AE234" s="59"/>
      <c r="AF234" s="59"/>
      <c r="AG234" s="59"/>
      <c r="AH234" s="59"/>
      <c r="AI234" s="130">
        <f t="shared" ref="AI234:AI241" si="36">AH234+AG234+AF234+AE234+AD234</f>
        <v>15.7</v>
      </c>
      <c r="AL234" s="116" t="s">
        <v>236</v>
      </c>
    </row>
    <row r="235" spans="1:38" ht="16.5">
      <c r="A235" s="138">
        <v>57</v>
      </c>
      <c r="B235" s="32" t="s">
        <v>241</v>
      </c>
      <c r="C235" s="59">
        <v>2.71</v>
      </c>
      <c r="D235" s="59"/>
      <c r="E235" s="59"/>
      <c r="F235" s="59"/>
      <c r="G235" s="59"/>
      <c r="H235" s="59">
        <v>2.71</v>
      </c>
      <c r="I235" s="59"/>
      <c r="J235" s="59"/>
      <c r="K235" s="59"/>
      <c r="L235" s="59"/>
      <c r="M235" s="59"/>
      <c r="N235" s="59"/>
      <c r="O235" s="59">
        <v>4.26</v>
      </c>
      <c r="P235" s="59"/>
      <c r="Q235" s="59"/>
      <c r="R235" s="59"/>
      <c r="S235" s="58">
        <v>2.71</v>
      </c>
      <c r="T235" s="58">
        <v>2.71</v>
      </c>
      <c r="U235" s="59"/>
      <c r="V235" s="59"/>
      <c r="W235" s="59"/>
      <c r="X235" s="59"/>
      <c r="Y235" s="58">
        <v>2.71</v>
      </c>
      <c r="Z235" s="59"/>
      <c r="AA235" s="59"/>
      <c r="AB235" s="59"/>
      <c r="AC235" s="59">
        <v>4.26</v>
      </c>
      <c r="AD235" s="59">
        <v>4.26</v>
      </c>
      <c r="AE235" s="59"/>
      <c r="AF235" s="59"/>
      <c r="AG235" s="59"/>
      <c r="AH235" s="59"/>
      <c r="AI235" s="130">
        <f t="shared" si="36"/>
        <v>4.26</v>
      </c>
      <c r="AL235" s="116" t="s">
        <v>241</v>
      </c>
    </row>
    <row r="236" spans="1:38" ht="49.5">
      <c r="A236" s="138">
        <v>58</v>
      </c>
      <c r="B236" s="32" t="s">
        <v>243</v>
      </c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>
        <v>285.36799999999999</v>
      </c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>
        <v>92.347999999999999</v>
      </c>
      <c r="AF236" s="59">
        <v>95.95</v>
      </c>
      <c r="AG236" s="59">
        <v>97.07</v>
      </c>
      <c r="AH236" s="59"/>
      <c r="AI236" s="130">
        <f t="shared" si="36"/>
        <v>285.36799999999999</v>
      </c>
      <c r="AL236" s="116" t="s">
        <v>243</v>
      </c>
    </row>
    <row r="237" spans="1:38" ht="66">
      <c r="A237" s="138">
        <v>59</v>
      </c>
      <c r="B237" s="39" t="s">
        <v>705</v>
      </c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>
        <v>15</v>
      </c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>
        <v>3</v>
      </c>
      <c r="AD237" s="59">
        <v>3</v>
      </c>
      <c r="AE237" s="59">
        <v>3</v>
      </c>
      <c r="AF237" s="59">
        <v>3</v>
      </c>
      <c r="AG237" s="59">
        <v>3</v>
      </c>
      <c r="AH237" s="59">
        <v>3</v>
      </c>
      <c r="AI237" s="130">
        <f t="shared" si="36"/>
        <v>15</v>
      </c>
      <c r="AL237" s="121" t="s">
        <v>705</v>
      </c>
    </row>
    <row r="238" spans="1:38" ht="33">
      <c r="A238" s="138">
        <v>60</v>
      </c>
      <c r="B238" s="32" t="s">
        <v>261</v>
      </c>
      <c r="C238" s="59">
        <v>8.5</v>
      </c>
      <c r="D238" s="59"/>
      <c r="E238" s="59"/>
      <c r="F238" s="59"/>
      <c r="G238" s="59"/>
      <c r="H238" s="59">
        <v>8.5</v>
      </c>
      <c r="I238" s="59"/>
      <c r="J238" s="59"/>
      <c r="K238" s="59"/>
      <c r="L238" s="59"/>
      <c r="M238" s="59"/>
      <c r="N238" s="59"/>
      <c r="O238" s="59">
        <v>16.701000000000001</v>
      </c>
      <c r="P238" s="59"/>
      <c r="Q238" s="59"/>
      <c r="R238" s="59"/>
      <c r="S238" s="58">
        <v>8.5</v>
      </c>
      <c r="T238" s="58">
        <v>8.5</v>
      </c>
      <c r="U238" s="59"/>
      <c r="V238" s="59"/>
      <c r="W238" s="59"/>
      <c r="X238" s="59"/>
      <c r="Y238" s="58">
        <v>8.5</v>
      </c>
      <c r="Z238" s="59"/>
      <c r="AA238" s="59"/>
      <c r="AB238" s="59"/>
      <c r="AC238" s="59">
        <v>11.851000000000001</v>
      </c>
      <c r="AD238" s="59">
        <v>11.851000000000001</v>
      </c>
      <c r="AE238" s="59"/>
      <c r="AF238" s="59"/>
      <c r="AG238" s="59"/>
      <c r="AH238" s="59"/>
      <c r="AI238" s="130">
        <f t="shared" si="36"/>
        <v>11.851000000000001</v>
      </c>
      <c r="AL238" s="116" t="s">
        <v>261</v>
      </c>
    </row>
    <row r="239" spans="1:38" ht="49.5">
      <c r="A239" s="138">
        <v>61</v>
      </c>
      <c r="B239" s="32" t="s">
        <v>696</v>
      </c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>
        <v>170</v>
      </c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>
        <v>15</v>
      </c>
      <c r="AD239" s="59">
        <v>15</v>
      </c>
      <c r="AE239" s="59">
        <v>20</v>
      </c>
      <c r="AF239" s="59">
        <v>45</v>
      </c>
      <c r="AG239" s="59">
        <v>45</v>
      </c>
      <c r="AH239" s="59">
        <v>45</v>
      </c>
      <c r="AI239" s="130">
        <f t="shared" si="36"/>
        <v>170</v>
      </c>
      <c r="AL239" s="116" t="s">
        <v>696</v>
      </c>
    </row>
    <row r="240" spans="1:38" ht="16.5">
      <c r="A240" s="138">
        <v>62</v>
      </c>
      <c r="B240" s="32" t="s">
        <v>262</v>
      </c>
      <c r="C240" s="59"/>
      <c r="D240" s="59">
        <v>11</v>
      </c>
      <c r="E240" s="59"/>
      <c r="F240" s="59"/>
      <c r="G240" s="59"/>
      <c r="H240" s="59">
        <v>11</v>
      </c>
      <c r="I240" s="59"/>
      <c r="J240" s="59"/>
      <c r="K240" s="59"/>
      <c r="L240" s="59"/>
      <c r="M240" s="59"/>
      <c r="N240" s="59"/>
      <c r="O240" s="59">
        <v>23.832000000000001</v>
      </c>
      <c r="P240" s="59"/>
      <c r="Q240" s="59"/>
      <c r="R240" s="59"/>
      <c r="S240" s="59"/>
      <c r="T240" s="59"/>
      <c r="U240" s="58">
        <v>11</v>
      </c>
      <c r="V240" s="59"/>
      <c r="W240" s="59"/>
      <c r="X240" s="59"/>
      <c r="Y240" s="58">
        <v>11</v>
      </c>
      <c r="Z240" s="59"/>
      <c r="AA240" s="59"/>
      <c r="AB240" s="59"/>
      <c r="AC240" s="59"/>
      <c r="AD240" s="59"/>
      <c r="AE240" s="59">
        <v>19.532</v>
      </c>
      <c r="AF240" s="59"/>
      <c r="AG240" s="59"/>
      <c r="AH240" s="59"/>
      <c r="AI240" s="130">
        <f t="shared" si="36"/>
        <v>19.532</v>
      </c>
      <c r="AL240" s="116" t="s">
        <v>262</v>
      </c>
    </row>
    <row r="241" spans="1:38" ht="49.5">
      <c r="A241" s="138">
        <v>63</v>
      </c>
      <c r="B241" s="39" t="s">
        <v>706</v>
      </c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>
        <v>15</v>
      </c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>
        <v>3</v>
      </c>
      <c r="AD241" s="59">
        <v>3</v>
      </c>
      <c r="AE241" s="59">
        <v>3</v>
      </c>
      <c r="AF241" s="59">
        <v>3</v>
      </c>
      <c r="AG241" s="59">
        <v>3</v>
      </c>
      <c r="AH241" s="59">
        <v>3</v>
      </c>
      <c r="AI241" s="130">
        <f t="shared" si="36"/>
        <v>15</v>
      </c>
      <c r="AL241" s="121" t="s">
        <v>706</v>
      </c>
    </row>
    <row r="242" spans="1:38" ht="26.25" customHeight="1">
      <c r="A242" s="140"/>
      <c r="B242" s="126" t="s">
        <v>635</v>
      </c>
      <c r="C242" s="126">
        <f t="shared" ref="C242:AI242" si="37">SUM(C243:C251)</f>
        <v>50.2</v>
      </c>
      <c r="D242" s="126">
        <f t="shared" si="37"/>
        <v>47.2</v>
      </c>
      <c r="E242" s="126">
        <f t="shared" si="37"/>
        <v>59</v>
      </c>
      <c r="F242" s="126">
        <f t="shared" si="37"/>
        <v>46</v>
      </c>
      <c r="G242" s="126">
        <f t="shared" si="37"/>
        <v>45</v>
      </c>
      <c r="H242" s="126">
        <f t="shared" si="37"/>
        <v>247.39999999999998</v>
      </c>
      <c r="I242" s="126">
        <f t="shared" si="37"/>
        <v>0</v>
      </c>
      <c r="J242" s="126">
        <f t="shared" si="37"/>
        <v>0</v>
      </c>
      <c r="K242" s="126">
        <f t="shared" si="37"/>
        <v>0</v>
      </c>
      <c r="L242" s="126">
        <f t="shared" si="37"/>
        <v>0</v>
      </c>
      <c r="M242" s="126">
        <f t="shared" si="37"/>
        <v>0</v>
      </c>
      <c r="N242" s="126">
        <f t="shared" si="37"/>
        <v>0</v>
      </c>
      <c r="O242" s="131">
        <f t="shared" si="37"/>
        <v>3274.003796</v>
      </c>
      <c r="P242" s="126">
        <f t="shared" si="37"/>
        <v>0</v>
      </c>
      <c r="Q242" s="126">
        <f t="shared" si="37"/>
        <v>0</v>
      </c>
      <c r="R242" s="126">
        <f t="shared" si="37"/>
        <v>0</v>
      </c>
      <c r="S242" s="126">
        <f t="shared" si="37"/>
        <v>50.2</v>
      </c>
      <c r="T242" s="126">
        <f t="shared" si="37"/>
        <v>50.2</v>
      </c>
      <c r="U242" s="126">
        <f t="shared" si="37"/>
        <v>47.2</v>
      </c>
      <c r="V242" s="126">
        <f t="shared" si="37"/>
        <v>59</v>
      </c>
      <c r="W242" s="126">
        <f t="shared" si="37"/>
        <v>46</v>
      </c>
      <c r="X242" s="126">
        <f t="shared" si="37"/>
        <v>45</v>
      </c>
      <c r="Y242" s="126">
        <f t="shared" si="37"/>
        <v>247.39999999999998</v>
      </c>
      <c r="Z242" s="131">
        <f t="shared" si="37"/>
        <v>62.5</v>
      </c>
      <c r="AA242" s="131">
        <f t="shared" si="37"/>
        <v>62.5</v>
      </c>
      <c r="AB242" s="131">
        <f t="shared" si="37"/>
        <v>74.900000000000006</v>
      </c>
      <c r="AC242" s="131">
        <f t="shared" si="37"/>
        <v>265.14</v>
      </c>
      <c r="AD242" s="131">
        <f t="shared" si="37"/>
        <v>465.04</v>
      </c>
      <c r="AE242" s="131">
        <f t="shared" si="37"/>
        <v>459.24</v>
      </c>
      <c r="AF242" s="131">
        <f t="shared" si="37"/>
        <v>688.24</v>
      </c>
      <c r="AG242" s="131">
        <f t="shared" si="37"/>
        <v>409.24</v>
      </c>
      <c r="AH242" s="131">
        <f t="shared" si="37"/>
        <v>388.24</v>
      </c>
      <c r="AI242" s="132">
        <f t="shared" si="37"/>
        <v>2410</v>
      </c>
      <c r="AL242" s="62" t="s">
        <v>635</v>
      </c>
    </row>
    <row r="243" spans="1:38" ht="16.5">
      <c r="A243" s="140">
        <v>1</v>
      </c>
      <c r="B243" s="32" t="s">
        <v>98</v>
      </c>
      <c r="C243" s="133">
        <v>5.2</v>
      </c>
      <c r="D243" s="133"/>
      <c r="E243" s="133"/>
      <c r="F243" s="133"/>
      <c r="G243" s="133"/>
      <c r="H243" s="133">
        <f t="shared" ref="H243:H248" si="38">SUM(C243:G243)</f>
        <v>5.2</v>
      </c>
      <c r="I243" s="133"/>
      <c r="J243" s="133"/>
      <c r="K243" s="133"/>
      <c r="L243" s="133"/>
      <c r="M243" s="133"/>
      <c r="N243" s="133"/>
      <c r="O243" s="59">
        <v>152</v>
      </c>
      <c r="P243" s="133"/>
      <c r="Q243" s="133"/>
      <c r="R243" s="133"/>
      <c r="S243" s="133">
        <v>5.2</v>
      </c>
      <c r="T243" s="133">
        <f>SUM(P243:S243)</f>
        <v>5.2</v>
      </c>
      <c r="U243" s="133"/>
      <c r="V243" s="133"/>
      <c r="W243" s="133"/>
      <c r="X243" s="133"/>
      <c r="Y243" s="133">
        <f>SUM(T243:X243)</f>
        <v>5.2</v>
      </c>
      <c r="Z243" s="59"/>
      <c r="AA243" s="59"/>
      <c r="AB243" s="59"/>
      <c r="AC243" s="59">
        <v>152</v>
      </c>
      <c r="AD243" s="59">
        <f>SUM(Z243:AC243)</f>
        <v>152</v>
      </c>
      <c r="AE243" s="59"/>
      <c r="AF243" s="59"/>
      <c r="AG243" s="59"/>
      <c r="AH243" s="59"/>
      <c r="AI243" s="130">
        <f>SUM(AD243:AH243)</f>
        <v>152</v>
      </c>
      <c r="AL243" s="116" t="s">
        <v>98</v>
      </c>
    </row>
    <row r="244" spans="1:38" ht="33">
      <c r="A244" s="140">
        <v>2</v>
      </c>
      <c r="B244" s="32" t="s">
        <v>115</v>
      </c>
      <c r="C244" s="133"/>
      <c r="D244" s="133"/>
      <c r="E244" s="133"/>
      <c r="F244" s="133">
        <v>1</v>
      </c>
      <c r="G244" s="133"/>
      <c r="H244" s="133">
        <f t="shared" si="38"/>
        <v>1</v>
      </c>
      <c r="I244" s="133"/>
      <c r="J244" s="133"/>
      <c r="K244" s="133"/>
      <c r="L244" s="133"/>
      <c r="M244" s="133"/>
      <c r="N244" s="133"/>
      <c r="O244" s="59">
        <v>21</v>
      </c>
      <c r="P244" s="133"/>
      <c r="Q244" s="133"/>
      <c r="R244" s="133"/>
      <c r="S244" s="133"/>
      <c r="T244" s="133">
        <f>SUM(P244:S244)</f>
        <v>0</v>
      </c>
      <c r="U244" s="133"/>
      <c r="V244" s="133"/>
      <c r="W244" s="133">
        <v>1</v>
      </c>
      <c r="X244" s="133"/>
      <c r="Y244" s="133">
        <f>SUM(T244:X244)</f>
        <v>1</v>
      </c>
      <c r="Z244" s="59"/>
      <c r="AA244" s="59"/>
      <c r="AB244" s="59"/>
      <c r="AC244" s="59"/>
      <c r="AD244" s="59">
        <f>SUM(Z244:AC244)</f>
        <v>0</v>
      </c>
      <c r="AE244" s="59"/>
      <c r="AF244" s="59"/>
      <c r="AG244" s="59">
        <v>21</v>
      </c>
      <c r="AH244" s="59"/>
      <c r="AI244" s="130">
        <f>SUM(AD244:AH244)</f>
        <v>21</v>
      </c>
      <c r="AL244" s="116" t="s">
        <v>115</v>
      </c>
    </row>
    <row r="245" spans="1:38" ht="82.5">
      <c r="A245" s="140">
        <v>3</v>
      </c>
      <c r="B245" s="55" t="s">
        <v>643</v>
      </c>
      <c r="C245" s="64">
        <f>5*0.9</f>
        <v>4.5</v>
      </c>
      <c r="D245" s="64">
        <f>5*0.9</f>
        <v>4.5</v>
      </c>
      <c r="E245" s="64">
        <f>5*0.9</f>
        <v>4.5</v>
      </c>
      <c r="F245" s="64">
        <f>5*0.9</f>
        <v>4.5</v>
      </c>
      <c r="G245" s="64">
        <f>5*0.9</f>
        <v>4.5</v>
      </c>
      <c r="H245" s="64">
        <f t="shared" si="38"/>
        <v>22.5</v>
      </c>
      <c r="I245" s="64"/>
      <c r="J245" s="133"/>
      <c r="K245" s="133"/>
      <c r="L245" s="133"/>
      <c r="M245" s="133"/>
      <c r="N245" s="133"/>
      <c r="O245" s="58">
        <f>817.07448*0.9</f>
        <v>735.36703199999999</v>
      </c>
      <c r="P245" s="133"/>
      <c r="Q245" s="133"/>
      <c r="R245" s="133"/>
      <c r="S245" s="64">
        <f t="shared" ref="S245:X245" si="39">5*0.9</f>
        <v>4.5</v>
      </c>
      <c r="T245" s="64">
        <f t="shared" si="39"/>
        <v>4.5</v>
      </c>
      <c r="U245" s="64">
        <f t="shared" si="39"/>
        <v>4.5</v>
      </c>
      <c r="V245" s="64">
        <f t="shared" si="39"/>
        <v>4.5</v>
      </c>
      <c r="W245" s="64">
        <f t="shared" si="39"/>
        <v>4.5</v>
      </c>
      <c r="X245" s="64">
        <f t="shared" si="39"/>
        <v>4.5</v>
      </c>
      <c r="Y245" s="64">
        <f>SUM(T245:X245)</f>
        <v>22.5</v>
      </c>
      <c r="Z245" s="59"/>
      <c r="AA245" s="59"/>
      <c r="AB245" s="59"/>
      <c r="AC245" s="58">
        <f t="shared" ref="AC245:AH245" si="40">25*1.18*0.7*0.9</f>
        <v>18.585000000000001</v>
      </c>
      <c r="AD245" s="58">
        <f t="shared" si="40"/>
        <v>18.585000000000001</v>
      </c>
      <c r="AE245" s="58">
        <f t="shared" si="40"/>
        <v>18.585000000000001</v>
      </c>
      <c r="AF245" s="58">
        <f t="shared" si="40"/>
        <v>18.585000000000001</v>
      </c>
      <c r="AG245" s="58">
        <f t="shared" si="40"/>
        <v>18.585000000000001</v>
      </c>
      <c r="AH245" s="58">
        <f t="shared" si="40"/>
        <v>18.585000000000001</v>
      </c>
      <c r="AI245" s="60">
        <f>SUM(AD245:AH245)</f>
        <v>92.925000000000011</v>
      </c>
      <c r="AL245" s="127" t="s">
        <v>643</v>
      </c>
    </row>
    <row r="246" spans="1:38" ht="82.5">
      <c r="A246" s="140">
        <v>4</v>
      </c>
      <c r="B246" s="55" t="s">
        <v>644</v>
      </c>
      <c r="C246" s="64">
        <f>5*0.7</f>
        <v>3.5</v>
      </c>
      <c r="D246" s="64">
        <f>5*0.7</f>
        <v>3.5</v>
      </c>
      <c r="E246" s="64">
        <f>5*0.7</f>
        <v>3.5</v>
      </c>
      <c r="F246" s="64">
        <f>5*0.7</f>
        <v>3.5</v>
      </c>
      <c r="G246" s="64">
        <f>5*0.7</f>
        <v>3.5</v>
      </c>
      <c r="H246" s="64">
        <f t="shared" si="38"/>
        <v>17.5</v>
      </c>
      <c r="I246" s="64"/>
      <c r="J246" s="133"/>
      <c r="K246" s="133"/>
      <c r="L246" s="133"/>
      <c r="M246" s="133"/>
      <c r="N246" s="133"/>
      <c r="O246" s="58">
        <f>336.55252*0.7</f>
        <v>235.58676399999999</v>
      </c>
      <c r="P246" s="133"/>
      <c r="Q246" s="133"/>
      <c r="R246" s="133"/>
      <c r="S246" s="64">
        <f t="shared" ref="S246:X246" si="41">5*0.7</f>
        <v>3.5</v>
      </c>
      <c r="T246" s="64">
        <f t="shared" si="41"/>
        <v>3.5</v>
      </c>
      <c r="U246" s="64">
        <f t="shared" si="41"/>
        <v>3.5</v>
      </c>
      <c r="V246" s="64">
        <f t="shared" si="41"/>
        <v>3.5</v>
      </c>
      <c r="W246" s="64">
        <f t="shared" si="41"/>
        <v>3.5</v>
      </c>
      <c r="X246" s="64">
        <f t="shared" si="41"/>
        <v>3.5</v>
      </c>
      <c r="Y246" s="64">
        <f>SUM(T246:X246)</f>
        <v>17.5</v>
      </c>
      <c r="Z246" s="59"/>
      <c r="AA246" s="59"/>
      <c r="AB246" s="59"/>
      <c r="AC246" s="58">
        <f t="shared" ref="AC246:AH246" si="42">25*1.18*0.7*0.7</f>
        <v>14.454999999999998</v>
      </c>
      <c r="AD246" s="58">
        <f t="shared" si="42"/>
        <v>14.454999999999998</v>
      </c>
      <c r="AE246" s="58">
        <f t="shared" si="42"/>
        <v>14.454999999999998</v>
      </c>
      <c r="AF246" s="58">
        <f t="shared" si="42"/>
        <v>14.454999999999998</v>
      </c>
      <c r="AG246" s="58">
        <f t="shared" si="42"/>
        <v>14.454999999999998</v>
      </c>
      <c r="AH246" s="58">
        <f t="shared" si="42"/>
        <v>14.454999999999998</v>
      </c>
      <c r="AI246" s="60">
        <f>SUM(AD246:AH246)</f>
        <v>72.274999999999991</v>
      </c>
      <c r="AL246" s="127" t="s">
        <v>644</v>
      </c>
    </row>
    <row r="247" spans="1:38" ht="16.5">
      <c r="A247" s="140">
        <v>5</v>
      </c>
      <c r="B247" s="32" t="s">
        <v>340</v>
      </c>
      <c r="C247" s="64">
        <v>5.2</v>
      </c>
      <c r="D247" s="64">
        <v>5.2</v>
      </c>
      <c r="E247" s="64">
        <v>5.2</v>
      </c>
      <c r="F247" s="64">
        <v>5.2</v>
      </c>
      <c r="G247" s="64">
        <v>5.2</v>
      </c>
      <c r="H247" s="133">
        <f t="shared" si="38"/>
        <v>26</v>
      </c>
      <c r="I247" s="133"/>
      <c r="J247" s="133"/>
      <c r="K247" s="133"/>
      <c r="L247" s="133"/>
      <c r="M247" s="133"/>
      <c r="N247" s="133"/>
      <c r="O247" s="59">
        <v>62.4</v>
      </c>
      <c r="P247" s="133"/>
      <c r="Q247" s="133"/>
      <c r="R247" s="133"/>
      <c r="S247" s="64">
        <v>5.2</v>
      </c>
      <c r="T247" s="64">
        <v>5.2</v>
      </c>
      <c r="U247" s="64">
        <v>5.2</v>
      </c>
      <c r="V247" s="64">
        <v>5.2</v>
      </c>
      <c r="W247" s="64">
        <v>5.2</v>
      </c>
      <c r="X247" s="64">
        <v>5.2</v>
      </c>
      <c r="Y247" s="64">
        <v>26</v>
      </c>
      <c r="Z247" s="59"/>
      <c r="AA247" s="59"/>
      <c r="AB247" s="59"/>
      <c r="AC247" s="59">
        <v>5.2</v>
      </c>
      <c r="AD247" s="59">
        <v>5.2</v>
      </c>
      <c r="AE247" s="59">
        <v>5.2</v>
      </c>
      <c r="AF247" s="59">
        <v>5.2</v>
      </c>
      <c r="AG247" s="59">
        <v>5.2</v>
      </c>
      <c r="AH247" s="59">
        <v>5.2</v>
      </c>
      <c r="AI247" s="130">
        <f>AH247+AG247+AF247+AE247+AD247</f>
        <v>26</v>
      </c>
      <c r="AL247" s="116" t="s">
        <v>340</v>
      </c>
    </row>
    <row r="248" spans="1:38" ht="33">
      <c r="A248" s="140">
        <v>6</v>
      </c>
      <c r="B248" s="32" t="s">
        <v>349</v>
      </c>
      <c r="C248" s="133"/>
      <c r="D248" s="133"/>
      <c r="E248" s="64">
        <v>14</v>
      </c>
      <c r="F248" s="64"/>
      <c r="G248" s="64"/>
      <c r="H248" s="133">
        <f t="shared" si="38"/>
        <v>14</v>
      </c>
      <c r="I248" s="133"/>
      <c r="J248" s="133"/>
      <c r="K248" s="133"/>
      <c r="L248" s="133"/>
      <c r="M248" s="133"/>
      <c r="N248" s="133"/>
      <c r="O248" s="59">
        <v>272.85000000000002</v>
      </c>
      <c r="P248" s="133"/>
      <c r="Q248" s="133"/>
      <c r="R248" s="133"/>
      <c r="S248" s="133"/>
      <c r="T248" s="133"/>
      <c r="U248" s="133"/>
      <c r="V248" s="64">
        <v>14</v>
      </c>
      <c r="W248" s="133"/>
      <c r="X248" s="133"/>
      <c r="Y248" s="64">
        <v>14</v>
      </c>
      <c r="Z248" s="59"/>
      <c r="AA248" s="59"/>
      <c r="AB248" s="59"/>
      <c r="AC248" s="59"/>
      <c r="AD248" s="59"/>
      <c r="AE248" s="59">
        <v>121</v>
      </c>
      <c r="AF248" s="59">
        <v>200</v>
      </c>
      <c r="AG248" s="59"/>
      <c r="AH248" s="59"/>
      <c r="AI248" s="130">
        <f>AH248+AG248+AF248+AE248+AD248</f>
        <v>321</v>
      </c>
      <c r="AL248" s="116" t="s">
        <v>349</v>
      </c>
    </row>
    <row r="249" spans="1:38" ht="16.5">
      <c r="A249" s="140">
        <v>7</v>
      </c>
      <c r="B249" s="32" t="s">
        <v>364</v>
      </c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59">
        <v>474.8</v>
      </c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59"/>
      <c r="AA249" s="59"/>
      <c r="AB249" s="59">
        <v>12.4</v>
      </c>
      <c r="AC249" s="59">
        <v>12.4</v>
      </c>
      <c r="AD249" s="59">
        <v>24.8</v>
      </c>
      <c r="AE249" s="59">
        <v>50</v>
      </c>
      <c r="AF249" s="59">
        <v>200</v>
      </c>
      <c r="AG249" s="59">
        <v>100</v>
      </c>
      <c r="AH249" s="59">
        <v>100</v>
      </c>
      <c r="AI249" s="130">
        <f>AH249+AG249+AF249+AE249+AD249</f>
        <v>474.8</v>
      </c>
      <c r="AL249" s="116" t="s">
        <v>364</v>
      </c>
    </row>
    <row r="250" spans="1:38" ht="66">
      <c r="A250" s="140">
        <v>8</v>
      </c>
      <c r="B250" s="39" t="s">
        <v>712</v>
      </c>
      <c r="C250" s="133">
        <v>31.8</v>
      </c>
      <c r="D250" s="133">
        <v>31.8</v>
      </c>
      <c r="E250" s="133">
        <v>31.8</v>
      </c>
      <c r="F250" s="133">
        <v>31.8</v>
      </c>
      <c r="G250" s="133">
        <v>31.8</v>
      </c>
      <c r="H250" s="133">
        <f>SUM(C250:G250)</f>
        <v>159</v>
      </c>
      <c r="I250" s="133"/>
      <c r="J250" s="133"/>
      <c r="K250" s="133"/>
      <c r="L250" s="133"/>
      <c r="M250" s="133"/>
      <c r="N250" s="133"/>
      <c r="O250" s="59">
        <v>1250</v>
      </c>
      <c r="P250" s="133"/>
      <c r="Q250" s="133"/>
      <c r="R250" s="133"/>
      <c r="S250" s="133">
        <v>31.8</v>
      </c>
      <c r="T250" s="133">
        <f>SUM(S250)</f>
        <v>31.8</v>
      </c>
      <c r="U250" s="133">
        <v>31.8</v>
      </c>
      <c r="V250" s="133">
        <v>31.8</v>
      </c>
      <c r="W250" s="133">
        <v>31.8</v>
      </c>
      <c r="X250" s="133">
        <v>31.8</v>
      </c>
      <c r="Y250" s="133">
        <f>SUM(T250:X250)</f>
        <v>159</v>
      </c>
      <c r="Z250" s="59">
        <v>62.5</v>
      </c>
      <c r="AA250" s="59">
        <v>62.5</v>
      </c>
      <c r="AB250" s="59">
        <v>62.5</v>
      </c>
      <c r="AC250" s="59">
        <v>62.5</v>
      </c>
      <c r="AD250" s="59">
        <v>250</v>
      </c>
      <c r="AE250" s="59">
        <v>250</v>
      </c>
      <c r="AF250" s="59">
        <v>250</v>
      </c>
      <c r="AG250" s="59">
        <v>250</v>
      </c>
      <c r="AH250" s="59">
        <v>250</v>
      </c>
      <c r="AI250" s="130">
        <f>AH250+AG250+AF250+AE250+AD250</f>
        <v>1250</v>
      </c>
      <c r="AL250" s="121" t="s">
        <v>712</v>
      </c>
    </row>
    <row r="251" spans="1:38" ht="33">
      <c r="A251" s="140">
        <v>9</v>
      </c>
      <c r="B251" s="32" t="s">
        <v>379</v>
      </c>
      <c r="C251" s="133"/>
      <c r="D251" s="133">
        <v>2.2000000000000002</v>
      </c>
      <c r="E251" s="133"/>
      <c r="F251" s="133"/>
      <c r="G251" s="133"/>
      <c r="H251" s="133">
        <f>SUM(C251:G251)</f>
        <v>2.2000000000000002</v>
      </c>
      <c r="I251" s="133"/>
      <c r="J251" s="133"/>
      <c r="K251" s="133"/>
      <c r="L251" s="133"/>
      <c r="M251" s="133"/>
      <c r="N251" s="133"/>
      <c r="O251" s="59">
        <v>70</v>
      </c>
      <c r="P251" s="133"/>
      <c r="Q251" s="133"/>
      <c r="R251" s="133"/>
      <c r="S251" s="133"/>
      <c r="T251" s="133"/>
      <c r="U251" s="133">
        <v>2.2000000000000002</v>
      </c>
      <c r="V251" s="133"/>
      <c r="W251" s="133"/>
      <c r="X251" s="133"/>
      <c r="Y251" s="133">
        <f>SUM(U251:X251)</f>
        <v>2.2000000000000002</v>
      </c>
      <c r="Z251" s="59"/>
      <c r="AA251" s="59"/>
      <c r="AB251" s="59"/>
      <c r="AC251" s="59"/>
      <c r="AD251" s="59"/>
      <c r="AE251" s="59"/>
      <c r="AF251" s="59"/>
      <c r="AG251" s="59"/>
      <c r="AH251" s="59"/>
      <c r="AI251" s="130"/>
      <c r="AL251" s="116" t="s">
        <v>379</v>
      </c>
    </row>
    <row r="253" spans="1:38" ht="18.75">
      <c r="B253" s="111" t="s">
        <v>736</v>
      </c>
      <c r="AL253" s="111" t="s">
        <v>737</v>
      </c>
    </row>
    <row r="254" spans="1:38" ht="18.75">
      <c r="A254" s="110"/>
      <c r="B254" s="134" t="s">
        <v>757</v>
      </c>
      <c r="C254" s="110"/>
      <c r="D254" s="110"/>
      <c r="E254" s="110"/>
      <c r="F254" s="110"/>
      <c r="G254" s="110"/>
      <c r="H254" s="110"/>
      <c r="I254" s="110"/>
      <c r="J254" s="110"/>
      <c r="K254" s="110"/>
      <c r="AL254" s="110"/>
    </row>
    <row r="255" spans="1:38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L255" s="4"/>
    </row>
    <row r="256" spans="1:38"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L256" s="61"/>
    </row>
    <row r="257" spans="2:38"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L257" s="61"/>
    </row>
    <row r="258" spans="2:38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L258" s="4"/>
    </row>
    <row r="259" spans="2:38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L259" s="4"/>
    </row>
  </sheetData>
  <mergeCells count="24">
    <mergeCell ref="AE4:AE5"/>
    <mergeCell ref="AF4:AF5"/>
    <mergeCell ref="AH4:AH5"/>
    <mergeCell ref="AI4:AI5"/>
    <mergeCell ref="P3:AI3"/>
    <mergeCell ref="AG4:AG5"/>
    <mergeCell ref="X4:X5"/>
    <mergeCell ref="Y4:Y5"/>
    <mergeCell ref="A1:AI1"/>
    <mergeCell ref="AL3:AL6"/>
    <mergeCell ref="C5:H5"/>
    <mergeCell ref="I5:N5"/>
    <mergeCell ref="P6:Y6"/>
    <mergeCell ref="Z6:AI6"/>
    <mergeCell ref="W4:W5"/>
    <mergeCell ref="P4:T4"/>
    <mergeCell ref="U4:U5"/>
    <mergeCell ref="V4:V5"/>
    <mergeCell ref="Z4:AD4"/>
    <mergeCell ref="A3:A6"/>
    <mergeCell ref="B3:B6"/>
    <mergeCell ref="C3:H4"/>
    <mergeCell ref="I3:N4"/>
    <mergeCell ref="O3:O5"/>
  </mergeCells>
  <pageMargins left="0.74803149606299213" right="0.35433070866141736" top="0.51181102362204722" bottom="0.74803149606299213" header="0.31496062992125984" footer="0.51181102362204722"/>
  <pageSetup paperSize="8" scale="45" fitToHeight="35" orientation="landscape" r:id="rId1"/>
  <headerFooter alignWithMargins="0">
    <oddHeader>&amp;C&amp;22&amp;P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H42"/>
  <sheetViews>
    <sheetView view="pageBreakPreview" zoomScale="80" zoomScaleSheetLayoutView="80" workbookViewId="0">
      <selection activeCell="G7" sqref="G7:G8"/>
    </sheetView>
  </sheetViews>
  <sheetFormatPr defaultRowHeight="21.75" customHeight="1"/>
  <cols>
    <col min="1" max="1" width="9" style="2"/>
    <col min="2" max="2" width="44" style="2" bestFit="1" customWidth="1"/>
    <col min="3" max="3" width="11.25" style="2" customWidth="1"/>
    <col min="4" max="4" width="10.125" style="2" customWidth="1"/>
    <col min="5" max="5" width="10.25" style="2" customWidth="1"/>
    <col min="6" max="7" width="11.625" style="2" customWidth="1"/>
    <col min="8" max="8" width="11.875" style="2" customWidth="1"/>
    <col min="9" max="9" width="9.625" style="2" customWidth="1"/>
    <col min="10" max="16384" width="9" style="2"/>
  </cols>
  <sheetData>
    <row r="1" spans="1:8" s="6" customFormat="1" ht="62.25" customHeight="1">
      <c r="A1" s="169" t="s">
        <v>61</v>
      </c>
      <c r="B1" s="169"/>
      <c r="C1" s="169"/>
      <c r="D1" s="169"/>
      <c r="E1" s="169"/>
      <c r="F1" s="169"/>
      <c r="G1" s="169"/>
      <c r="H1" s="169"/>
    </row>
    <row r="2" spans="1:8" ht="21.75" customHeight="1" thickBot="1">
      <c r="A2" s="3"/>
    </row>
    <row r="3" spans="1:8" ht="51.75" customHeight="1">
      <c r="A3" s="22" t="s">
        <v>9</v>
      </c>
      <c r="B3" s="23" t="s">
        <v>10</v>
      </c>
      <c r="C3" s="23" t="s">
        <v>655</v>
      </c>
      <c r="D3" s="23" t="s">
        <v>656</v>
      </c>
      <c r="E3" s="23" t="s">
        <v>657</v>
      </c>
      <c r="F3" s="23" t="s">
        <v>658</v>
      </c>
      <c r="G3" s="23" t="s">
        <v>659</v>
      </c>
      <c r="H3" s="24" t="s">
        <v>26</v>
      </c>
    </row>
    <row r="4" spans="1:8" ht="21.75" customHeight="1">
      <c r="A4" s="25">
        <v>1</v>
      </c>
      <c r="B4" s="19" t="s">
        <v>12</v>
      </c>
      <c r="C4" s="145">
        <v>6398.9201859999994</v>
      </c>
      <c r="D4" s="145">
        <v>6654.877800440001</v>
      </c>
      <c r="E4" s="145">
        <v>6957.0631021630634</v>
      </c>
      <c r="F4" s="145">
        <v>7240.4770370026908</v>
      </c>
      <c r="G4" s="145">
        <v>7500.2896102917293</v>
      </c>
      <c r="H4" s="146">
        <f>H5+H12+H16+H17+H19</f>
        <v>34751.627735897484</v>
      </c>
    </row>
    <row r="5" spans="1:8" ht="21.75" customHeight="1">
      <c r="A5" s="26" t="s">
        <v>1</v>
      </c>
      <c r="B5" s="19" t="s">
        <v>13</v>
      </c>
      <c r="C5" s="142">
        <v>991.42995000000008</v>
      </c>
      <c r="D5" s="142">
        <v>1031.0871480000001</v>
      </c>
      <c r="E5" s="142">
        <v>1077.9068478083775</v>
      </c>
      <c r="F5" s="142">
        <v>1121.8181673755337</v>
      </c>
      <c r="G5" s="142">
        <v>1162.0727615602402</v>
      </c>
      <c r="H5" s="143">
        <f>H6+H8</f>
        <v>5384.314874744151</v>
      </c>
    </row>
    <row r="6" spans="1:8" ht="21.75" customHeight="1">
      <c r="A6" s="26" t="s">
        <v>14</v>
      </c>
      <c r="B6" s="19" t="s">
        <v>31</v>
      </c>
      <c r="C6" s="142">
        <v>991.42995000000008</v>
      </c>
      <c r="D6" s="142">
        <v>1031.0871480000001</v>
      </c>
      <c r="E6" s="142">
        <v>1077.9068478083775</v>
      </c>
      <c r="F6" s="142">
        <v>1121.8181673755337</v>
      </c>
      <c r="G6" s="142">
        <v>1162.0727615602402</v>
      </c>
      <c r="H6" s="143">
        <f>SUM(C6:G6)</f>
        <v>5384.314874744151</v>
      </c>
    </row>
    <row r="7" spans="1:8" ht="21.75" customHeight="1">
      <c r="A7" s="26" t="s">
        <v>24</v>
      </c>
      <c r="B7" s="19" t="s">
        <v>32</v>
      </c>
      <c r="C7" s="142"/>
      <c r="D7" s="142"/>
      <c r="E7" s="142"/>
      <c r="F7" s="142"/>
      <c r="G7" s="142"/>
      <c r="H7" s="143">
        <v>0</v>
      </c>
    </row>
    <row r="8" spans="1:8" ht="39.75" customHeight="1">
      <c r="A8" s="26" t="s">
        <v>28</v>
      </c>
      <c r="B8" s="19" t="s">
        <v>41</v>
      </c>
      <c r="C8" s="142">
        <v>0</v>
      </c>
      <c r="D8" s="142">
        <v>0</v>
      </c>
      <c r="E8" s="142">
        <v>0</v>
      </c>
      <c r="F8" s="142">
        <v>0</v>
      </c>
      <c r="G8" s="142">
        <v>0</v>
      </c>
      <c r="H8" s="143">
        <f>SUM(C8:G8)</f>
        <v>0</v>
      </c>
    </row>
    <row r="9" spans="1:8" ht="36.75" customHeight="1">
      <c r="A9" s="26" t="s">
        <v>29</v>
      </c>
      <c r="B9" s="19" t="s">
        <v>42</v>
      </c>
      <c r="C9" s="142"/>
      <c r="D9" s="142"/>
      <c r="E9" s="142"/>
      <c r="F9" s="142"/>
      <c r="G9" s="142"/>
      <c r="H9" s="143">
        <v>0</v>
      </c>
    </row>
    <row r="10" spans="1:8" ht="36" customHeight="1">
      <c r="A10" s="26" t="s">
        <v>30</v>
      </c>
      <c r="B10" s="19" t="s">
        <v>43</v>
      </c>
      <c r="C10" s="142"/>
      <c r="D10" s="142"/>
      <c r="E10" s="142"/>
      <c r="F10" s="142"/>
      <c r="G10" s="142"/>
      <c r="H10" s="143">
        <f>SUM(C10:G10)</f>
        <v>0</v>
      </c>
    </row>
    <row r="11" spans="1:8" ht="21.75" customHeight="1">
      <c r="A11" s="26" t="s">
        <v>75</v>
      </c>
      <c r="B11" s="19" t="s">
        <v>65</v>
      </c>
      <c r="C11" s="142"/>
      <c r="D11" s="142"/>
      <c r="E11" s="142"/>
      <c r="F11" s="142"/>
      <c r="G11" s="142"/>
      <c r="H11" s="143">
        <v>0</v>
      </c>
    </row>
    <row r="12" spans="1:8" ht="21.75" customHeight="1">
      <c r="A12" s="26" t="s">
        <v>2</v>
      </c>
      <c r="B12" s="19" t="s">
        <v>15</v>
      </c>
      <c r="C12" s="142">
        <v>4423.60275</v>
      </c>
      <c r="D12" s="142">
        <v>4600.5468600000004</v>
      </c>
      <c r="E12" s="142">
        <v>4809.4489138733106</v>
      </c>
      <c r="F12" s="142">
        <v>5005.3742376880691</v>
      </c>
      <c r="G12" s="142">
        <v>5184.9838344483878</v>
      </c>
      <c r="H12" s="144">
        <f>H13+H14</f>
        <v>24023.956596009768</v>
      </c>
    </row>
    <row r="13" spans="1:8" ht="21.75" customHeight="1">
      <c r="A13" s="26" t="s">
        <v>66</v>
      </c>
      <c r="B13" s="19" t="s">
        <v>69</v>
      </c>
      <c r="C13" s="142">
        <v>4423.60275</v>
      </c>
      <c r="D13" s="142">
        <v>4600.5468600000004</v>
      </c>
      <c r="E13" s="142">
        <v>4809.4489138733106</v>
      </c>
      <c r="F13" s="142">
        <v>5005.3742376880691</v>
      </c>
      <c r="G13" s="142">
        <v>5184.9838344483878</v>
      </c>
      <c r="H13" s="143">
        <f>SUM(C13:G13)</f>
        <v>24023.956596009768</v>
      </c>
    </row>
    <row r="14" spans="1:8" ht="21.75" customHeight="1">
      <c r="A14" s="26" t="s">
        <v>67</v>
      </c>
      <c r="B14" s="19" t="s">
        <v>70</v>
      </c>
      <c r="C14" s="142"/>
      <c r="D14" s="142"/>
      <c r="E14" s="142"/>
      <c r="F14" s="142"/>
      <c r="G14" s="142"/>
      <c r="H14" s="143">
        <v>0</v>
      </c>
    </row>
    <row r="15" spans="1:8" ht="21.75" customHeight="1">
      <c r="A15" s="26" t="s">
        <v>68</v>
      </c>
      <c r="B15" s="19" t="s">
        <v>71</v>
      </c>
      <c r="C15" s="142"/>
      <c r="D15" s="142"/>
      <c r="E15" s="142"/>
      <c r="F15" s="142"/>
      <c r="G15" s="142"/>
      <c r="H15" s="143">
        <v>0</v>
      </c>
    </row>
    <row r="16" spans="1:8" ht="21.75" customHeight="1">
      <c r="A16" s="26" t="s">
        <v>8</v>
      </c>
      <c r="B16" s="19" t="s">
        <v>16</v>
      </c>
      <c r="C16" s="142">
        <v>983.88748599999997</v>
      </c>
      <c r="D16" s="142">
        <v>1023.2437924400001</v>
      </c>
      <c r="E16" s="142">
        <v>1069.7073404813752</v>
      </c>
      <c r="F16" s="142">
        <v>1113.2846319390881</v>
      </c>
      <c r="G16" s="142">
        <v>1153.233014283102</v>
      </c>
      <c r="H16" s="143">
        <f>SUM(C16:G16)</f>
        <v>5343.3562651435659</v>
      </c>
    </row>
    <row r="17" spans="1:8" ht="21.75" customHeight="1">
      <c r="A17" s="26" t="s">
        <v>17</v>
      </c>
      <c r="B17" s="19" t="s">
        <v>18</v>
      </c>
      <c r="C17" s="142"/>
      <c r="D17" s="142"/>
      <c r="E17" s="142"/>
      <c r="F17" s="142"/>
      <c r="G17" s="142"/>
      <c r="H17" s="143">
        <f>SUM(C17:G17)</f>
        <v>0</v>
      </c>
    </row>
    <row r="18" spans="1:8" ht="21.75" customHeight="1">
      <c r="A18" s="26" t="s">
        <v>19</v>
      </c>
      <c r="B18" s="19" t="s">
        <v>44</v>
      </c>
      <c r="C18" s="142"/>
      <c r="D18" s="142"/>
      <c r="E18" s="142"/>
      <c r="F18" s="142"/>
      <c r="G18" s="142"/>
      <c r="H18" s="143">
        <v>0</v>
      </c>
    </row>
    <row r="19" spans="1:8" ht="21.75" customHeight="1">
      <c r="A19" s="26" t="s">
        <v>56</v>
      </c>
      <c r="B19" s="19" t="s">
        <v>74</v>
      </c>
      <c r="C19" s="142"/>
      <c r="D19" s="142"/>
      <c r="E19" s="142"/>
      <c r="F19" s="142"/>
      <c r="G19" s="142"/>
      <c r="H19" s="143">
        <v>0</v>
      </c>
    </row>
    <row r="20" spans="1:8" ht="21.75" customHeight="1">
      <c r="A20" s="26" t="s">
        <v>3</v>
      </c>
      <c r="B20" s="19" t="s">
        <v>45</v>
      </c>
      <c r="C20" s="142">
        <v>51.013200000000005</v>
      </c>
      <c r="D20" s="142">
        <v>53.053728</v>
      </c>
      <c r="E20" s="142">
        <v>55.462796548176016</v>
      </c>
      <c r="F20" s="142">
        <v>57.722216820221718</v>
      </c>
      <c r="G20" s="142">
        <v>59.793483341939442</v>
      </c>
      <c r="H20" s="143">
        <f>SUM(C20:G20)</f>
        <v>277.04542471033722</v>
      </c>
    </row>
    <row r="21" spans="1:8" ht="21.75" customHeight="1">
      <c r="A21" s="26" t="s">
        <v>4</v>
      </c>
      <c r="B21" s="19" t="s">
        <v>48</v>
      </c>
      <c r="C21" s="142">
        <v>51.013200000000005</v>
      </c>
      <c r="D21" s="142">
        <v>53.053728</v>
      </c>
      <c r="E21" s="142">
        <v>55.462796548176016</v>
      </c>
      <c r="F21" s="142">
        <v>57.722216820221718</v>
      </c>
      <c r="G21" s="142">
        <v>59.793483341939442</v>
      </c>
      <c r="H21" s="143">
        <f>SUM(C21:G21)</f>
        <v>277.04542471033722</v>
      </c>
    </row>
    <row r="22" spans="1:8" ht="21.75" customHeight="1">
      <c r="A22" s="26" t="s">
        <v>5</v>
      </c>
      <c r="B22" s="19" t="s">
        <v>46</v>
      </c>
      <c r="C22" s="142"/>
      <c r="D22" s="142"/>
      <c r="E22" s="142"/>
      <c r="F22" s="142"/>
      <c r="G22" s="142"/>
      <c r="H22" s="143">
        <f>SUM(C22:G22)</f>
        <v>0</v>
      </c>
    </row>
    <row r="23" spans="1:8" ht="21.75" customHeight="1">
      <c r="A23" s="27" t="s">
        <v>6</v>
      </c>
      <c r="B23" s="19" t="s">
        <v>47</v>
      </c>
      <c r="C23" s="142"/>
      <c r="D23" s="142"/>
      <c r="E23" s="142"/>
      <c r="F23" s="142"/>
      <c r="G23" s="142"/>
      <c r="H23" s="143">
        <v>0</v>
      </c>
    </row>
    <row r="24" spans="1:8" ht="21.75" customHeight="1">
      <c r="A24" s="27" t="s">
        <v>7</v>
      </c>
      <c r="B24" s="19" t="s">
        <v>20</v>
      </c>
      <c r="C24" s="142"/>
      <c r="D24" s="142"/>
      <c r="E24" s="142"/>
      <c r="F24" s="142"/>
      <c r="G24" s="142"/>
      <c r="H24" s="143">
        <v>0</v>
      </c>
    </row>
    <row r="25" spans="1:8" ht="21.75" customHeight="1">
      <c r="A25" s="26" t="s">
        <v>34</v>
      </c>
      <c r="B25" s="19" t="s">
        <v>27</v>
      </c>
      <c r="C25" s="142"/>
      <c r="D25" s="142"/>
      <c r="E25" s="142"/>
      <c r="F25" s="142"/>
      <c r="G25" s="142"/>
      <c r="H25" s="143">
        <v>0</v>
      </c>
    </row>
    <row r="26" spans="1:8" ht="21.75" customHeight="1">
      <c r="A26" s="26" t="s">
        <v>39</v>
      </c>
      <c r="B26" s="19" t="s">
        <v>73</v>
      </c>
      <c r="C26" s="142"/>
      <c r="D26" s="142"/>
      <c r="E26" s="142"/>
      <c r="F26" s="142"/>
      <c r="G26" s="142"/>
      <c r="H26" s="143">
        <v>0</v>
      </c>
    </row>
    <row r="27" spans="1:8" ht="21.75" customHeight="1">
      <c r="A27" s="26" t="s">
        <v>72</v>
      </c>
      <c r="B27" s="19" t="s">
        <v>21</v>
      </c>
      <c r="C27" s="142"/>
      <c r="D27" s="142"/>
      <c r="E27" s="142"/>
      <c r="F27" s="142"/>
      <c r="G27" s="142"/>
      <c r="H27" s="143">
        <v>0</v>
      </c>
    </row>
    <row r="28" spans="1:8" ht="21.75" customHeight="1">
      <c r="A28" s="28"/>
      <c r="B28" s="20" t="s">
        <v>11</v>
      </c>
      <c r="C28" s="145">
        <v>6449.9333859999997</v>
      </c>
      <c r="D28" s="145">
        <v>6707.9315284400009</v>
      </c>
      <c r="E28" s="145">
        <v>7012.5258987112393</v>
      </c>
      <c r="F28" s="145">
        <v>7298.1992538229124</v>
      </c>
      <c r="G28" s="145">
        <v>7560.0830936336688</v>
      </c>
      <c r="H28" s="146">
        <f>H4+H20</f>
        <v>35028.673160607825</v>
      </c>
    </row>
    <row r="29" spans="1:8" ht="21.75" customHeight="1">
      <c r="A29" s="7"/>
      <c r="B29" s="19" t="s">
        <v>62</v>
      </c>
      <c r="C29" s="142"/>
      <c r="D29" s="142"/>
      <c r="E29" s="142"/>
      <c r="F29" s="142"/>
      <c r="G29" s="142"/>
      <c r="H29" s="143"/>
    </row>
    <row r="30" spans="1:8" ht="21.75" customHeight="1">
      <c r="A30" s="7"/>
      <c r="B30" s="21" t="s">
        <v>63</v>
      </c>
      <c r="C30" s="142"/>
      <c r="D30" s="142"/>
      <c r="E30" s="142"/>
      <c r="F30" s="142"/>
      <c r="G30" s="142"/>
      <c r="H30" s="143"/>
    </row>
    <row r="31" spans="1:8" ht="21.75" customHeight="1" thickBot="1">
      <c r="A31" s="8"/>
      <c r="B31" s="29" t="s">
        <v>64</v>
      </c>
      <c r="C31" s="147"/>
      <c r="D31" s="147"/>
      <c r="E31" s="147"/>
      <c r="F31" s="147"/>
      <c r="G31" s="147"/>
      <c r="H31" s="148"/>
    </row>
    <row r="32" spans="1:8" ht="21.75" customHeight="1">
      <c r="A32" s="9"/>
      <c r="B32" s="10"/>
      <c r="C32" s="10"/>
      <c r="D32" s="10"/>
      <c r="E32" s="9"/>
      <c r="F32" s="9"/>
      <c r="G32" s="9"/>
      <c r="H32" s="9"/>
    </row>
    <row r="33" spans="1:8" ht="21.75" customHeight="1">
      <c r="A33" s="9"/>
      <c r="B33" s="10"/>
      <c r="C33" s="10"/>
      <c r="D33" s="10"/>
      <c r="E33" s="9"/>
      <c r="F33" s="9"/>
      <c r="G33" s="9"/>
      <c r="H33" s="9"/>
    </row>
    <row r="34" spans="1:8" ht="21.75" customHeight="1">
      <c r="A34" s="170" t="s">
        <v>660</v>
      </c>
      <c r="B34" s="170"/>
      <c r="C34" s="170"/>
      <c r="D34" s="170"/>
      <c r="E34" s="170"/>
      <c r="F34" s="170"/>
      <c r="G34" s="9"/>
      <c r="H34" s="9"/>
    </row>
    <row r="35" spans="1:8" ht="21.75" customHeight="1">
      <c r="A35" s="11"/>
      <c r="B35" s="12"/>
      <c r="C35" s="12"/>
      <c r="D35" s="12"/>
    </row>
    <row r="36" spans="1:8" ht="21.75" customHeight="1">
      <c r="A36" s="11"/>
    </row>
    <row r="37" spans="1:8" ht="21.75" customHeight="1">
      <c r="A37" s="11"/>
    </row>
    <row r="38" spans="1:8" ht="21.75" customHeight="1">
      <c r="A38" s="13"/>
      <c r="B38" s="13"/>
      <c r="C38" s="13"/>
      <c r="D38" s="13"/>
      <c r="E38" s="13"/>
      <c r="F38" s="13"/>
      <c r="G38" s="13"/>
      <c r="H38" s="13"/>
    </row>
    <row r="39" spans="1:8" ht="21.75" customHeight="1">
      <c r="A39" s="11"/>
    </row>
    <row r="40" spans="1:8" ht="21.75" customHeight="1">
      <c r="A40" s="14"/>
      <c r="E40" s="15"/>
      <c r="F40" s="15"/>
      <c r="H40" s="16"/>
    </row>
    <row r="41" spans="1:8" ht="21.75" customHeight="1">
      <c r="E41" s="17"/>
      <c r="F41" s="17"/>
    </row>
    <row r="42" spans="1:8" ht="21.75" customHeight="1">
      <c r="A42" s="18"/>
      <c r="F42" s="3"/>
    </row>
  </sheetData>
  <mergeCells count="2">
    <mergeCell ref="A1:H1"/>
    <mergeCell ref="A34:F34"/>
  </mergeCells>
  <pageMargins left="0.74803149606299213" right="0.39370078740157483" top="0.78740157480314965" bottom="0.98425196850393704" header="0.39370078740157483" footer="0.51181102362204722"/>
  <pageSetup paperSize="9" scale="71" orientation="portrait" r:id="rId1"/>
  <headerFooter alignWithMargins="0">
    <oddHeader>&amp;C&amp;16&amp;P</oddHeader>
  </headerFooter>
  <rowBreaks count="1" manualBreakCount="1">
    <brk id="3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приложение 1.1</vt:lpstr>
      <vt:lpstr>прил1.3</vt:lpstr>
      <vt:lpstr>приложение 4.2</vt:lpstr>
      <vt:lpstr>Лист1</vt:lpstr>
      <vt:lpstr>прил1.3!Заголовки_для_печати</vt:lpstr>
      <vt:lpstr>'приложение 1.1'!Заголовки_для_печати</vt:lpstr>
      <vt:lpstr>прил1.3!Область_печати</vt:lpstr>
      <vt:lpstr>'приложение 1.1'!Область_печати</vt:lpstr>
      <vt:lpstr>'приложение 4.2'!Область_печати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SattarovIO</cp:lastModifiedBy>
  <cp:lastPrinted>2014-11-25T08:25:45Z</cp:lastPrinted>
  <dcterms:created xsi:type="dcterms:W3CDTF">2009-07-27T10:10:26Z</dcterms:created>
  <dcterms:modified xsi:type="dcterms:W3CDTF">2014-11-25T08:25:49Z</dcterms:modified>
</cp:coreProperties>
</file>